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07"/>
  <workbookPr defaultThemeVersion="166925"/>
  <xr:revisionPtr revIDLastSave="0" documentId="11_D9317ED21B34B6735C448E53A354BF0DBEAC8B14" xr6:coauthVersionLast="45" xr6:coauthVersionMax="45" xr10:uidLastSave="{00000000-0000-0000-0000-000000000000}"/>
  <bookViews>
    <workbookView xWindow="0" yWindow="0" windowWidth="0" windowHeight="0" xr2:uid="{00000000-000D-0000-FFFF-FFFF00000000}"/>
  </bookViews>
  <sheets>
    <sheet name="2018" sheetId="1" r:id="rId1"/>
    <sheet name="2019" sheetId="2" r:id="rId2"/>
  </sheets>
  <definedNames>
    <definedName name="_xlnm._FilterDatabase" localSheetId="0" hidden="1">'2018'!$A$1:$N$276</definedName>
    <definedName name="_xlnm._FilterDatabase" localSheetId="1" hidden="1">'2019'!$A$1:$L$258</definedName>
    <definedName name="Z_2B645371_7090_47A3_BC27_8529D0CE6622_.wvu.FilterData" localSheetId="1" hidden="1">'2019'!$B$1:$C$258</definedName>
  </definedNames>
  <calcPr calcId="191028" calcCompleted="0"/>
  <customWorkbookViews>
    <customWorkbookView name="Filter 1" guid="{2B645371-7090-47A3-BC27-8529D0CE6622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8" i="2" l="1"/>
  <c r="P118" i="2"/>
  <c r="Q117" i="2"/>
  <c r="P117" i="2"/>
  <c r="Q116" i="2"/>
  <c r="P116" i="2"/>
  <c r="Q115" i="2"/>
  <c r="P115" i="2"/>
  <c r="Q114" i="2"/>
  <c r="P114" i="2"/>
  <c r="Q113" i="2"/>
  <c r="P113" i="2"/>
  <c r="Q112" i="2"/>
  <c r="P112" i="2"/>
  <c r="Q111" i="2"/>
  <c r="P111" i="2"/>
  <c r="Q110" i="2"/>
  <c r="P110" i="2"/>
  <c r="Q109" i="2"/>
  <c r="P109" i="2"/>
  <c r="Q108" i="2"/>
  <c r="P108" i="2"/>
  <c r="Q107" i="2"/>
  <c r="P107" i="2"/>
  <c r="Q106" i="2"/>
  <c r="P106" i="2"/>
  <c r="Q105" i="2"/>
  <c r="P105" i="2"/>
  <c r="Q104" i="2"/>
  <c r="P104" i="2"/>
  <c r="Q103" i="2"/>
  <c r="P103" i="2"/>
  <c r="Q102" i="2"/>
  <c r="P102" i="2"/>
  <c r="Q101" i="2"/>
  <c r="P101" i="2"/>
  <c r="Q100" i="2"/>
  <c r="P100" i="2"/>
  <c r="Q99" i="2"/>
  <c r="P99" i="2"/>
  <c r="Q98" i="2"/>
  <c r="P98" i="2"/>
  <c r="Q97" i="2"/>
  <c r="P97" i="2"/>
  <c r="Q96" i="2"/>
  <c r="P96" i="2"/>
  <c r="Q95" i="2"/>
  <c r="P95" i="2"/>
  <c r="Q94" i="2"/>
  <c r="P94" i="2"/>
  <c r="Q93" i="2"/>
  <c r="P93" i="2"/>
  <c r="Q92" i="2"/>
  <c r="P92" i="2"/>
  <c r="Q91" i="2"/>
  <c r="P91" i="2"/>
  <c r="Q90" i="2"/>
  <c r="P90" i="2"/>
  <c r="Q89" i="2"/>
  <c r="P89" i="2"/>
  <c r="Q88" i="2"/>
  <c r="P88" i="2"/>
  <c r="O88" i="2"/>
  <c r="Q87" i="2"/>
  <c r="P87" i="2"/>
  <c r="O87" i="2"/>
  <c r="Q86" i="2"/>
  <c r="P86" i="2"/>
  <c r="O86" i="2"/>
  <c r="Q85" i="2"/>
  <c r="P85" i="2"/>
  <c r="O85" i="2"/>
  <c r="Q84" i="2"/>
  <c r="P84" i="2"/>
  <c r="O84" i="2"/>
  <c r="Q83" i="2"/>
  <c r="P83" i="2"/>
  <c r="O83" i="2"/>
  <c r="Q82" i="2"/>
  <c r="P82" i="2"/>
  <c r="O82" i="2"/>
  <c r="Q81" i="2"/>
  <c r="P81" i="2"/>
  <c r="O81" i="2"/>
  <c r="Q80" i="2"/>
  <c r="P80" i="2"/>
  <c r="O80" i="2"/>
  <c r="Q79" i="2"/>
  <c r="P79" i="2"/>
  <c r="O79" i="2"/>
  <c r="Q78" i="2"/>
  <c r="P78" i="2"/>
  <c r="O78" i="2"/>
  <c r="Q77" i="2"/>
  <c r="P77" i="2"/>
  <c r="O77" i="2"/>
  <c r="Q76" i="2"/>
  <c r="P76" i="2"/>
  <c r="O76" i="2"/>
  <c r="Q75" i="2"/>
  <c r="P75" i="2"/>
  <c r="O75" i="2"/>
  <c r="Q74" i="2"/>
  <c r="P74" i="2"/>
  <c r="O74" i="2"/>
  <c r="Q73" i="2"/>
  <c r="P73" i="2"/>
  <c r="O73" i="2"/>
  <c r="Q72" i="2"/>
  <c r="P72" i="2"/>
  <c r="O72" i="2"/>
  <c r="Q71" i="2"/>
  <c r="P71" i="2"/>
  <c r="O71" i="2"/>
  <c r="Q70" i="2"/>
  <c r="P70" i="2"/>
  <c r="O70" i="2"/>
  <c r="Q69" i="2"/>
  <c r="P69" i="2"/>
  <c r="O69" i="2"/>
  <c r="Q68" i="2"/>
  <c r="P68" i="2"/>
  <c r="O68" i="2"/>
  <c r="Q67" i="2"/>
  <c r="P67" i="2"/>
  <c r="O67" i="2"/>
  <c r="Q66" i="2"/>
  <c r="P66" i="2"/>
  <c r="O66" i="2"/>
  <c r="Q65" i="2"/>
  <c r="P65" i="2"/>
  <c r="O65" i="2"/>
  <c r="Q64" i="2"/>
  <c r="P64" i="2"/>
  <c r="O64" i="2"/>
  <c r="Q63" i="2"/>
  <c r="P63" i="2"/>
  <c r="O63" i="2"/>
  <c r="Q62" i="2"/>
  <c r="P62" i="2"/>
  <c r="O62" i="2"/>
  <c r="Q61" i="2"/>
  <c r="P61" i="2"/>
  <c r="O61" i="2"/>
  <c r="Q60" i="2"/>
  <c r="P60" i="2"/>
  <c r="O60" i="2"/>
  <c r="Q59" i="2"/>
  <c r="P59" i="2"/>
  <c r="O59" i="2"/>
  <c r="Q58" i="2"/>
  <c r="P58" i="2"/>
  <c r="O58" i="2"/>
  <c r="Q57" i="2"/>
  <c r="P57" i="2"/>
  <c r="O57" i="2"/>
  <c r="Q56" i="2"/>
  <c r="P56" i="2"/>
  <c r="O56" i="2"/>
  <c r="Q55" i="2"/>
  <c r="P55" i="2"/>
  <c r="O55" i="2"/>
  <c r="Q54" i="2"/>
  <c r="P54" i="2"/>
  <c r="O54" i="2"/>
  <c r="Q53" i="2"/>
  <c r="P53" i="2"/>
  <c r="O53" i="2"/>
  <c r="Q52" i="2"/>
  <c r="P52" i="2"/>
  <c r="O52" i="2"/>
  <c r="Q51" i="2"/>
  <c r="P51" i="2"/>
  <c r="O51" i="2"/>
  <c r="Q50" i="2"/>
  <c r="P50" i="2"/>
  <c r="O50" i="2"/>
  <c r="Q49" i="2"/>
  <c r="P49" i="2"/>
  <c r="O49" i="2"/>
  <c r="Q48" i="2"/>
  <c r="P48" i="2"/>
  <c r="O48" i="2"/>
  <c r="Q47" i="2"/>
  <c r="P47" i="2"/>
  <c r="O47" i="2"/>
  <c r="Q46" i="2"/>
  <c r="P46" i="2"/>
  <c r="O46" i="2"/>
  <c r="Q45" i="2"/>
  <c r="P45" i="2"/>
  <c r="O45" i="2"/>
  <c r="Q44" i="2"/>
  <c r="P44" i="2"/>
  <c r="O44" i="2"/>
  <c r="Q43" i="2"/>
  <c r="P43" i="2"/>
  <c r="O43" i="2"/>
  <c r="N43" i="2"/>
  <c r="Q42" i="2"/>
  <c r="P42" i="2"/>
  <c r="O42" i="2"/>
  <c r="N42" i="2"/>
  <c r="Q41" i="2"/>
  <c r="P41" i="2"/>
  <c r="O41" i="2"/>
  <c r="N41" i="2"/>
  <c r="Q40" i="2"/>
  <c r="P40" i="2"/>
  <c r="O40" i="2"/>
  <c r="N40" i="2"/>
  <c r="Q39" i="2"/>
  <c r="P39" i="2"/>
  <c r="O39" i="2"/>
  <c r="N39" i="2"/>
  <c r="Q38" i="2"/>
  <c r="P38" i="2"/>
  <c r="O38" i="2"/>
  <c r="N38" i="2"/>
  <c r="Q37" i="2"/>
  <c r="P37" i="2"/>
  <c r="O37" i="2"/>
  <c r="N37" i="2"/>
  <c r="Q36" i="2"/>
  <c r="P36" i="2"/>
  <c r="O36" i="2"/>
  <c r="N36" i="2"/>
  <c r="Q35" i="2"/>
  <c r="P35" i="2"/>
  <c r="O35" i="2"/>
  <c r="N35" i="2"/>
  <c r="Q34" i="2"/>
  <c r="P34" i="2"/>
  <c r="O34" i="2"/>
  <c r="N34" i="2"/>
  <c r="Q33" i="2"/>
  <c r="P33" i="2"/>
  <c r="O33" i="2"/>
  <c r="N33" i="2"/>
  <c r="Q32" i="2"/>
  <c r="P32" i="2"/>
  <c r="O32" i="2"/>
  <c r="N32" i="2"/>
  <c r="Q31" i="2"/>
  <c r="P31" i="2"/>
  <c r="O31" i="2"/>
  <c r="N31" i="2"/>
  <c r="Q30" i="2"/>
  <c r="P30" i="2"/>
  <c r="O30" i="2"/>
  <c r="N30" i="2"/>
  <c r="Q29" i="2"/>
  <c r="P29" i="2"/>
  <c r="O29" i="2"/>
  <c r="N29" i="2"/>
  <c r="Q28" i="2"/>
  <c r="P28" i="2"/>
  <c r="O28" i="2"/>
  <c r="N28" i="2"/>
  <c r="Q27" i="2"/>
  <c r="P27" i="2"/>
  <c r="O27" i="2"/>
  <c r="N27" i="2"/>
  <c r="Q26" i="2"/>
  <c r="P26" i="2"/>
  <c r="O26" i="2"/>
  <c r="N26" i="2"/>
  <c r="Q25" i="2"/>
  <c r="P25" i="2"/>
  <c r="O25" i="2"/>
  <c r="N25" i="2"/>
  <c r="Q24" i="2"/>
  <c r="P24" i="2"/>
  <c r="O24" i="2"/>
  <c r="N24" i="2"/>
  <c r="Q23" i="2"/>
  <c r="P23" i="2"/>
  <c r="O23" i="2"/>
  <c r="N23" i="2"/>
  <c r="Q22" i="2"/>
  <c r="P22" i="2"/>
  <c r="O22" i="2"/>
  <c r="N22" i="2"/>
  <c r="Q21" i="2"/>
  <c r="P21" i="2"/>
  <c r="O21" i="2"/>
  <c r="N21" i="2"/>
  <c r="Q20" i="2"/>
  <c r="P20" i="2"/>
  <c r="O20" i="2"/>
  <c r="N20" i="2"/>
  <c r="Q19" i="2"/>
  <c r="P19" i="2"/>
  <c r="O19" i="2"/>
  <c r="N19" i="2"/>
  <c r="Q18" i="2"/>
  <c r="P18" i="2"/>
  <c r="O18" i="2"/>
  <c r="N18" i="2"/>
  <c r="Q17" i="2"/>
  <c r="P17" i="2"/>
  <c r="O17" i="2"/>
  <c r="N17" i="2"/>
  <c r="Q16" i="2"/>
  <c r="P16" i="2"/>
  <c r="O16" i="2"/>
  <c r="N16" i="2"/>
  <c r="Q15" i="2"/>
  <c r="P15" i="2"/>
  <c r="O15" i="2"/>
  <c r="N15" i="2"/>
  <c r="Q14" i="2"/>
  <c r="P14" i="2"/>
  <c r="O14" i="2"/>
  <c r="N14" i="2"/>
  <c r="Q13" i="2"/>
  <c r="P13" i="2"/>
  <c r="O13" i="2"/>
  <c r="N13" i="2"/>
  <c r="Q12" i="2"/>
  <c r="P12" i="2"/>
  <c r="O12" i="2"/>
  <c r="N12" i="2"/>
  <c r="L12" i="2"/>
  <c r="Q11" i="2"/>
  <c r="P11" i="2"/>
  <c r="O11" i="2"/>
  <c r="N11" i="2"/>
  <c r="Q10" i="2"/>
  <c r="P10" i="2"/>
  <c r="O10" i="2"/>
  <c r="N10" i="2"/>
  <c r="Q9" i="2"/>
  <c r="P9" i="2"/>
  <c r="O9" i="2"/>
  <c r="N9" i="2"/>
  <c r="L9" i="2"/>
  <c r="Q8" i="2"/>
  <c r="P8" i="2"/>
  <c r="O8" i="2"/>
  <c r="N8" i="2"/>
  <c r="Q7" i="2"/>
  <c r="P7" i="2"/>
  <c r="O7" i="2"/>
  <c r="N7" i="2"/>
  <c r="Q6" i="2"/>
  <c r="P6" i="2"/>
  <c r="O6" i="2"/>
  <c r="N6" i="2"/>
  <c r="L6" i="2"/>
  <c r="Q5" i="2"/>
  <c r="P5" i="2"/>
  <c r="O5" i="2"/>
  <c r="N5" i="2"/>
  <c r="Q4" i="2"/>
  <c r="P4" i="2"/>
  <c r="O4" i="2"/>
  <c r="N4" i="2"/>
  <c r="L4" i="2"/>
  <c r="Q3" i="2"/>
  <c r="P3" i="2"/>
  <c r="O3" i="2"/>
  <c r="N3" i="2"/>
  <c r="W2" i="2"/>
  <c r="V2" i="2"/>
  <c r="U2" i="2"/>
  <c r="T2" i="2"/>
  <c r="Q2" i="2"/>
  <c r="P2" i="2"/>
  <c r="O2" i="2"/>
  <c r="N2" i="2"/>
  <c r="N176" i="1"/>
  <c r="N175" i="1"/>
  <c r="N174" i="1"/>
  <c r="N173" i="1"/>
  <c r="N172" i="1"/>
  <c r="N171" i="1"/>
  <c r="N170" i="1"/>
  <c r="N169" i="1"/>
  <c r="N168" i="1"/>
  <c r="P98" i="1"/>
  <c r="P97" i="1"/>
  <c r="P96" i="1"/>
  <c r="P95" i="1"/>
  <c r="P94" i="1"/>
  <c r="P93" i="1"/>
  <c r="P92" i="1"/>
  <c r="P91" i="1"/>
  <c r="P90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O69" i="1"/>
  <c r="Q68" i="1"/>
  <c r="P68" i="1"/>
  <c r="O68" i="1"/>
  <c r="Q67" i="1"/>
  <c r="P67" i="1"/>
  <c r="O67" i="1"/>
  <c r="Q66" i="1"/>
  <c r="P66" i="1"/>
  <c r="O66" i="1"/>
  <c r="Q65" i="1"/>
  <c r="P65" i="1"/>
  <c r="O65" i="1"/>
  <c r="Q64" i="1"/>
  <c r="P64" i="1"/>
  <c r="O64" i="1"/>
  <c r="Q63" i="1"/>
  <c r="P63" i="1"/>
  <c r="O63" i="1"/>
  <c r="Q62" i="1"/>
  <c r="P62" i="1"/>
  <c r="O62" i="1"/>
  <c r="Q61" i="1"/>
  <c r="P61" i="1"/>
  <c r="O61" i="1"/>
  <c r="Q60" i="1"/>
  <c r="P60" i="1"/>
  <c r="O60" i="1"/>
  <c r="Q59" i="1"/>
  <c r="P59" i="1"/>
  <c r="O59" i="1"/>
  <c r="Q58" i="1"/>
  <c r="P58" i="1"/>
  <c r="O58" i="1"/>
  <c r="Q57" i="1"/>
  <c r="P57" i="1"/>
  <c r="O57" i="1"/>
  <c r="Q56" i="1"/>
  <c r="P56" i="1"/>
  <c r="O56" i="1"/>
  <c r="Q55" i="1"/>
  <c r="P55" i="1"/>
  <c r="O55" i="1"/>
  <c r="Q54" i="1"/>
  <c r="P54" i="1"/>
  <c r="O54" i="1"/>
  <c r="Q53" i="1"/>
  <c r="P53" i="1"/>
  <c r="O53" i="1"/>
  <c r="Q52" i="1"/>
  <c r="P52" i="1"/>
  <c r="O52" i="1"/>
  <c r="Q51" i="1"/>
  <c r="P51" i="1"/>
  <c r="O51" i="1"/>
  <c r="Q50" i="1"/>
  <c r="P50" i="1"/>
  <c r="O50" i="1"/>
  <c r="Q49" i="1"/>
  <c r="P49" i="1"/>
  <c r="O49" i="1"/>
  <c r="Q48" i="1"/>
  <c r="P48" i="1"/>
  <c r="O48" i="1"/>
  <c r="Q47" i="1"/>
  <c r="P47" i="1"/>
  <c r="O47" i="1"/>
  <c r="Q46" i="1"/>
  <c r="P46" i="1"/>
  <c r="O46" i="1"/>
  <c r="Q45" i="1"/>
  <c r="P45" i="1"/>
  <c r="O45" i="1"/>
  <c r="Q44" i="1"/>
  <c r="P44" i="1"/>
  <c r="O44" i="1"/>
  <c r="Q43" i="1"/>
  <c r="P43" i="1"/>
  <c r="O43" i="1"/>
  <c r="Q42" i="1"/>
  <c r="P42" i="1"/>
  <c r="O42" i="1"/>
  <c r="Q41" i="1"/>
  <c r="P41" i="1"/>
  <c r="O41" i="1"/>
  <c r="Q40" i="1"/>
  <c r="P40" i="1"/>
  <c r="O40" i="1"/>
  <c r="Q39" i="1"/>
  <c r="P39" i="1"/>
  <c r="O39" i="1"/>
  <c r="Q38" i="1"/>
  <c r="P38" i="1"/>
  <c r="O38" i="1"/>
  <c r="Q37" i="1"/>
  <c r="P37" i="1"/>
  <c r="O37" i="1"/>
  <c r="Q36" i="1"/>
  <c r="P36" i="1"/>
  <c r="O36" i="1"/>
  <c r="Q35" i="1"/>
  <c r="P35" i="1"/>
  <c r="O35" i="1"/>
  <c r="Q34" i="1"/>
  <c r="P34" i="1"/>
  <c r="O34" i="1"/>
  <c r="Q33" i="1"/>
  <c r="P33" i="1"/>
  <c r="O33" i="1"/>
  <c r="Q32" i="1"/>
  <c r="P32" i="1"/>
  <c r="O32" i="1"/>
  <c r="Q31" i="1"/>
  <c r="P31" i="1"/>
  <c r="O31" i="1"/>
  <c r="Q30" i="1"/>
  <c r="P30" i="1"/>
  <c r="O30" i="1"/>
  <c r="Q29" i="1"/>
  <c r="P29" i="1"/>
  <c r="O29" i="1"/>
  <c r="L29" i="1"/>
  <c r="Q28" i="1"/>
  <c r="P28" i="1"/>
  <c r="O28" i="1"/>
  <c r="Q27" i="1"/>
  <c r="P27" i="1"/>
  <c r="O27" i="1"/>
  <c r="L27" i="1"/>
  <c r="Q26" i="1"/>
  <c r="P26" i="1"/>
  <c r="O26" i="1"/>
  <c r="Q25" i="1"/>
  <c r="P25" i="1"/>
  <c r="O25" i="1"/>
  <c r="Q24" i="1"/>
  <c r="P24" i="1"/>
  <c r="O24" i="1"/>
  <c r="L24" i="1"/>
  <c r="Q23" i="1"/>
  <c r="P23" i="1"/>
  <c r="O23" i="1"/>
  <c r="L23" i="1"/>
  <c r="Q22" i="1"/>
  <c r="P22" i="1"/>
  <c r="O22" i="1"/>
  <c r="Q21" i="1"/>
  <c r="P21" i="1"/>
  <c r="O21" i="1"/>
  <c r="Q20" i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O16" i="1"/>
  <c r="Q15" i="1"/>
  <c r="P15" i="1"/>
  <c r="O15" i="1"/>
  <c r="Q14" i="1"/>
  <c r="P14" i="1"/>
  <c r="O14" i="1"/>
  <c r="Q13" i="1"/>
  <c r="P13" i="1"/>
  <c r="O13" i="1"/>
  <c r="Q12" i="1"/>
  <c r="P12" i="1"/>
  <c r="O12" i="1"/>
  <c r="Q11" i="1"/>
  <c r="P11" i="1"/>
  <c r="O11" i="1"/>
  <c r="Q10" i="1"/>
  <c r="P10" i="1"/>
  <c r="O10" i="1"/>
  <c r="Q9" i="1"/>
  <c r="P9" i="1"/>
  <c r="O9" i="1"/>
  <c r="Q8" i="1"/>
  <c r="P8" i="1"/>
  <c r="O8" i="1"/>
  <c r="Q7" i="1"/>
  <c r="P7" i="1"/>
  <c r="O7" i="1"/>
  <c r="Q6" i="1"/>
  <c r="P6" i="1"/>
  <c r="O6" i="1"/>
  <c r="Q5" i="1"/>
  <c r="P5" i="1"/>
  <c r="O5" i="1"/>
  <c r="Q4" i="1"/>
  <c r="P4" i="1"/>
  <c r="O4" i="1"/>
  <c r="Q3" i="1"/>
  <c r="P3" i="1"/>
  <c r="O3" i="1"/>
  <c r="W2" i="1"/>
  <c r="V2" i="1"/>
  <c r="U2" i="1"/>
  <c r="T2" i="1"/>
  <c r="Q2" i="1"/>
  <c r="P2" i="1"/>
  <c r="O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" authorId="0" shapeId="0" xr:uid="{00000000-0006-0000-0000-000001000000}">
      <text>
        <r>
          <rPr>
            <sz val="10"/>
            <color rgb="FF000000"/>
            <rFont val="Arial"/>
          </rPr>
          <t>Identification Confidence Level: Basically, I am telling you the level of confidence I have that what I have identified is what I am saying it is.
1: Not sure about genus
2: Sure about genus not species
3: Sure about genus 50% sure about species 
4: 99% sure about species</t>
        </r>
      </text>
    </comment>
    <comment ref="I1" authorId="0" shapeId="0" xr:uid="{00000000-0006-0000-0000-000002000000}">
      <text>
        <r>
          <rPr>
            <sz val="10"/>
            <color rgb="FF000000"/>
            <rFont val="Arial"/>
          </rPr>
          <t>Levels:
5: 0.1 x 0.1m
4: 0.32 x 0.32m
3: 1.0 x 1.0m
2: 3.16 x 3.16m
1: 10 x 10m
0: not rooted but contributes to cover</t>
        </r>
      </text>
    </comment>
    <comment ref="J1" authorId="0" shapeId="0" xr:uid="{00000000-0006-0000-0000-000003000000}">
      <text>
        <r>
          <rPr>
            <sz val="10"/>
            <color rgb="FF000000"/>
            <rFont val="Arial"/>
          </rPr>
          <t xml:space="preserve">Cover Values:
EXOTICSCOV Exotics cover includes any non-native species present in the plot.  Exotics cover values are: 
None 
&lt;1% 
1-5% 
6-15% 
16-25% 
26-35% 
36-45% 
46-55% 
56-65% 
66-75% 
76-85% 
86-95% 
96-100%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" authorId="0" shapeId="0" xr:uid="{00000000-0006-0000-0100-000001000000}">
      <text>
        <r>
          <rPr>
            <sz val="10"/>
            <color rgb="FF000000"/>
            <rFont val="Arial"/>
          </rPr>
          <t>Identification Confidence Level: Basically, I am telling you the level of confidence I have that what I have identified is what I am saying it is.
1: Not sure about genus
2: Sure about genus not species
3: Sure about genus 50% sure about species 
4: 99% sure about species</t>
        </r>
      </text>
    </comment>
    <comment ref="I1" authorId="0" shapeId="0" xr:uid="{00000000-0006-0000-0100-000002000000}">
      <text>
        <r>
          <rPr>
            <sz val="10"/>
            <color rgb="FF000000"/>
            <rFont val="Arial"/>
          </rPr>
          <t>Levels:
5: 0.1 x 0.1m
4: 0.32 x 0.32m
3: 1.0 x 1.0m
2: 3.16 x 3.16m
1: 10 x 10m
0: not rooted but contributes to cover</t>
        </r>
      </text>
    </comment>
    <comment ref="J1" authorId="0" shapeId="0" xr:uid="{00000000-0006-0000-0100-000003000000}">
      <text>
        <r>
          <rPr>
            <sz val="10"/>
            <color rgb="FF000000"/>
            <rFont val="Arial"/>
          </rPr>
          <t>Cover Values:
1: Trace
2: &lt;1%
3: 1-2%
4: 2-5%
5: 5-10%
6: 10-25%
7: 25-50%
8: 50-75%
9: 75-95%
10: &gt;95%</t>
        </r>
      </text>
    </comment>
  </commentList>
</comments>
</file>

<file path=xl/sharedStrings.xml><?xml version="1.0" encoding="utf-8"?>
<sst xmlns="http://schemas.openxmlformats.org/spreadsheetml/2006/main" count="2836" uniqueCount="457">
  <si>
    <t>Year</t>
  </si>
  <si>
    <t>Date</t>
  </si>
  <si>
    <t>Tag-Plot#</t>
  </si>
  <si>
    <t>Identification Confindence</t>
  </si>
  <si>
    <t>Family</t>
  </si>
  <si>
    <t>Genus</t>
  </si>
  <si>
    <t>Species</t>
  </si>
  <si>
    <t>Common Name</t>
  </si>
  <si>
    <t>Plot Level</t>
  </si>
  <si>
    <t>CV @ 10x10m Level</t>
  </si>
  <si>
    <t>Location Notes</t>
  </si>
  <si>
    <t>Family List</t>
  </si>
  <si>
    <t>Genus List</t>
  </si>
  <si>
    <t>Species List</t>
  </si>
  <si>
    <t>Common Name List</t>
  </si>
  <si>
    <t>Unknown List</t>
  </si>
  <si>
    <t>Sorted Family Iterations</t>
  </si>
  <si>
    <t>Sorted Genus Iterations</t>
  </si>
  <si>
    <t>Sorted Species Iterations</t>
  </si>
  <si>
    <t>Sorted Common Name Iterations</t>
  </si>
  <si>
    <t>LP_10</t>
  </si>
  <si>
    <t>Rosaceae</t>
  </si>
  <si>
    <t>Rubus</t>
  </si>
  <si>
    <t>Rubus cuneifolius</t>
  </si>
  <si>
    <t>Sand Blackberry</t>
  </si>
  <si>
    <t>Asteraceae</t>
  </si>
  <si>
    <t>Soladago</t>
  </si>
  <si>
    <t>Soladago spp.</t>
  </si>
  <si>
    <t>Goldenrod</t>
  </si>
  <si>
    <t>Convolvulaceae</t>
  </si>
  <si>
    <t>Ipomoea</t>
  </si>
  <si>
    <t>Ipomoea quamoclit</t>
  </si>
  <si>
    <t>Cypress Vine</t>
  </si>
  <si>
    <t>Ambrosia</t>
  </si>
  <si>
    <t>Ambrosia artemisiifolia</t>
  </si>
  <si>
    <t>Ragweed</t>
  </si>
  <si>
    <t>Oxalidaceae</t>
  </si>
  <si>
    <t>Oxalis</t>
  </si>
  <si>
    <t>Oxalis spp.</t>
  </si>
  <si>
    <t>Wood Sorrel</t>
  </si>
  <si>
    <t>Lamiaceae</t>
  </si>
  <si>
    <t>Stachys</t>
  </si>
  <si>
    <t>Stachys floridana</t>
  </si>
  <si>
    <t>Florida Betony</t>
  </si>
  <si>
    <t>Vitaceae</t>
  </si>
  <si>
    <t>Vitis</t>
  </si>
  <si>
    <t>Vitis aestivalis</t>
  </si>
  <si>
    <t>Summer Grape</t>
  </si>
  <si>
    <t>Bidens</t>
  </si>
  <si>
    <t>Bidens alba</t>
  </si>
  <si>
    <t>Spanish Needle</t>
  </si>
  <si>
    <t>Anacardiaceae</t>
  </si>
  <si>
    <t>Rhus</t>
  </si>
  <si>
    <t>Rhus copallinum</t>
  </si>
  <si>
    <t>Winged Sumac</t>
  </si>
  <si>
    <t>Poaceae</t>
  </si>
  <si>
    <t xml:space="preserve">Megathyrsus </t>
  </si>
  <si>
    <t>Megathyrsus maximus</t>
  </si>
  <si>
    <t xml:space="preserve">Guineagrass </t>
  </si>
  <si>
    <t>Phyllanthaceae</t>
  </si>
  <si>
    <t>Phyllanthus</t>
  </si>
  <si>
    <t>Phyllanthus urinaria</t>
  </si>
  <si>
    <t>Chamberbitter</t>
  </si>
  <si>
    <t xml:space="preserve">Fabaceae </t>
  </si>
  <si>
    <t>Indigofera</t>
  </si>
  <si>
    <t>Indigofera hirsuta</t>
  </si>
  <si>
    <t>Hairy Indigo</t>
  </si>
  <si>
    <t>Pinaceae</t>
  </si>
  <si>
    <t>Pinus</t>
  </si>
  <si>
    <t>Pinus palustris</t>
  </si>
  <si>
    <t>Longleaf</t>
  </si>
  <si>
    <t>* Overstory</t>
  </si>
  <si>
    <t>Prunus</t>
  </si>
  <si>
    <t>Prunus serotina</t>
  </si>
  <si>
    <t>Black Cherry</t>
  </si>
  <si>
    <t>.</t>
  </si>
  <si>
    <t>UK - Fleshy Vine</t>
  </si>
  <si>
    <t>Fagaceae</t>
  </si>
  <si>
    <t>Quercus</t>
  </si>
  <si>
    <t>Quercus hemisphaerica</t>
  </si>
  <si>
    <t>Sand Laurel Oak</t>
  </si>
  <si>
    <t>Smilacaceae</t>
  </si>
  <si>
    <t>Smilax</t>
  </si>
  <si>
    <t>Smilax spp.</t>
  </si>
  <si>
    <t xml:space="preserve">Cyperaceae </t>
  </si>
  <si>
    <t>Cyperus</t>
  </si>
  <si>
    <t>Cyperus spp.</t>
  </si>
  <si>
    <t>Sedge</t>
  </si>
  <si>
    <t>Gelsemiaceae</t>
  </si>
  <si>
    <t>Gelsemium</t>
  </si>
  <si>
    <t>Gelsemium sempervirens</t>
  </si>
  <si>
    <t>Yellow Jessamine</t>
  </si>
  <si>
    <t>LP1</t>
  </si>
  <si>
    <t>UK - Lancelote Sandpaper</t>
  </si>
  <si>
    <t>Acanthaceae</t>
  </si>
  <si>
    <t>Dyschoriste</t>
  </si>
  <si>
    <t>Dyschoriste oblongifolia</t>
  </si>
  <si>
    <t>Twinflower</t>
  </si>
  <si>
    <t>Family Total:</t>
  </si>
  <si>
    <t>Smilax glauca</t>
  </si>
  <si>
    <t>Catbriar</t>
  </si>
  <si>
    <t>Ageratina</t>
  </si>
  <si>
    <t xml:space="preserve">Ageratina jucunda
</t>
  </si>
  <si>
    <t>Hammock Snakeroot</t>
  </si>
  <si>
    <t>Araliaceae</t>
  </si>
  <si>
    <t xml:space="preserve">Aralia </t>
  </si>
  <si>
    <t>Aralia spinosa</t>
  </si>
  <si>
    <t>Devil's Walkingstick</t>
  </si>
  <si>
    <t>Genus Total:</t>
  </si>
  <si>
    <t>Dennstaedtiaceae</t>
  </si>
  <si>
    <t>Pteridium</t>
  </si>
  <si>
    <t>Pteridium aquilinum</t>
  </si>
  <si>
    <t>Bracken Fern</t>
  </si>
  <si>
    <t xml:space="preserve">Ericaceae </t>
  </si>
  <si>
    <t xml:space="preserve">Vaccinium </t>
  </si>
  <si>
    <t>Vaccinium stamineum</t>
  </si>
  <si>
    <t>Deerberry</t>
  </si>
  <si>
    <t>Dichanthelium</t>
  </si>
  <si>
    <t>Dichanthelium spp.</t>
  </si>
  <si>
    <t>Rosette Grass</t>
  </si>
  <si>
    <t xml:space="preserve">Parthenocissus </t>
  </si>
  <si>
    <t>Parthenocissus quinquefolia</t>
  </si>
  <si>
    <t>Virginia Creeper</t>
  </si>
  <si>
    <t>Common Name Total:</t>
  </si>
  <si>
    <t>Arecaceae</t>
  </si>
  <si>
    <t>Sabal</t>
  </si>
  <si>
    <t>Sabal palmetto</t>
  </si>
  <si>
    <t>Cabbage Palm</t>
  </si>
  <si>
    <t>Galactia</t>
  </si>
  <si>
    <t>Galactia regularis</t>
  </si>
  <si>
    <t>Eastern Milkpea</t>
  </si>
  <si>
    <t>Species Total:</t>
  </si>
  <si>
    <t>Hieracium</t>
  </si>
  <si>
    <t>Hieracium megacephalon</t>
  </si>
  <si>
    <t>Coastal Plain Hawkweed</t>
  </si>
  <si>
    <t>Smilax bona-nox</t>
  </si>
  <si>
    <t>Zarzaparrilla</t>
  </si>
  <si>
    <t>Aristida</t>
  </si>
  <si>
    <t>Aristida stricta</t>
  </si>
  <si>
    <t>Wiregrass</t>
  </si>
  <si>
    <t>Setaria</t>
  </si>
  <si>
    <t>Setaria parviflora</t>
  </si>
  <si>
    <t>Foxtail</t>
  </si>
  <si>
    <t>Sorghastrum</t>
  </si>
  <si>
    <t>Sorghastrum spp.</t>
  </si>
  <si>
    <t>Euphorbiaceae</t>
  </si>
  <si>
    <t>Cnidoscolus</t>
  </si>
  <si>
    <t>Cnidoscolus urens</t>
  </si>
  <si>
    <t>Stinging Nettle</t>
  </si>
  <si>
    <t>Rubiaceae</t>
  </si>
  <si>
    <t xml:space="preserve">Houstonia </t>
  </si>
  <si>
    <t>Houstonia procumbens</t>
  </si>
  <si>
    <t>Innonence</t>
  </si>
  <si>
    <t>Passifloraceae</t>
  </si>
  <si>
    <t>Passiflora</t>
  </si>
  <si>
    <t>Passiflora spp.</t>
  </si>
  <si>
    <t>Passionflower</t>
  </si>
  <si>
    <t xml:space="preserve">Rhynchospora </t>
  </si>
  <si>
    <t>Rhynchospora spp.</t>
  </si>
  <si>
    <t>Nutrush</t>
  </si>
  <si>
    <t>Juglandaceae</t>
  </si>
  <si>
    <t>Carya</t>
  </si>
  <si>
    <t>Carya glabra</t>
  </si>
  <si>
    <t>Pignut Hickory</t>
  </si>
  <si>
    <t>Andropogon</t>
  </si>
  <si>
    <t>Andropogon gyrans</t>
  </si>
  <si>
    <t>Elliott's Bluestem</t>
  </si>
  <si>
    <t>Crotalaria</t>
  </si>
  <si>
    <t>Crotalaria lanceolata</t>
  </si>
  <si>
    <t xml:space="preserve">Lanceleaf Rattlebox </t>
  </si>
  <si>
    <t xml:space="preserve">Ebenaceae </t>
  </si>
  <si>
    <t xml:space="preserve">Diospyros </t>
  </si>
  <si>
    <t>Diospyros virginiana</t>
  </si>
  <si>
    <t>Persimmon</t>
  </si>
  <si>
    <t>Acalypha</t>
  </si>
  <si>
    <t>Acalyphagracilens</t>
  </si>
  <si>
    <t>Slender Threeseed Mercury</t>
  </si>
  <si>
    <t>Diodia</t>
  </si>
  <si>
    <t>Diodia gallium</t>
  </si>
  <si>
    <t>Elephantopus</t>
  </si>
  <si>
    <t>Elephantopus elatus</t>
  </si>
  <si>
    <t>Tall Elephantsfoot</t>
  </si>
  <si>
    <t>LP2</t>
  </si>
  <si>
    <t>Quercus michauxii</t>
  </si>
  <si>
    <t>Swamp Chestnut</t>
  </si>
  <si>
    <t>Lauraceae</t>
  </si>
  <si>
    <t>Persea</t>
  </si>
  <si>
    <t>Persea palustris</t>
  </si>
  <si>
    <t>Swampbay</t>
  </si>
  <si>
    <t>Eragrostis</t>
  </si>
  <si>
    <t>Eragrostis elliottii</t>
  </si>
  <si>
    <t>Elliots's Love Grass</t>
  </si>
  <si>
    <t>LP3</t>
  </si>
  <si>
    <t xml:space="preserve">Smilax laurifolia
</t>
  </si>
  <si>
    <t>Laurel Greenbrier</t>
  </si>
  <si>
    <t>UK - Galactica</t>
  </si>
  <si>
    <t>Erythrina</t>
  </si>
  <si>
    <t>Erythrina herbacea</t>
  </si>
  <si>
    <t>Cherokee Bean</t>
  </si>
  <si>
    <t>Callicarpa</t>
  </si>
  <si>
    <t>Callicarpa americana</t>
  </si>
  <si>
    <t>Beautyberry</t>
  </si>
  <si>
    <t>Bublbostylis</t>
  </si>
  <si>
    <t>Bulbostylis spp.</t>
  </si>
  <si>
    <t>Hair Sedge</t>
  </si>
  <si>
    <t>Annonaceae</t>
  </si>
  <si>
    <t>Asimina</t>
  </si>
  <si>
    <t>Asimina angustifolia</t>
  </si>
  <si>
    <t>Slimleaf Pawpaw</t>
  </si>
  <si>
    <t>UK - Hairy whirled leaves</t>
  </si>
  <si>
    <t>LP4</t>
  </si>
  <si>
    <t>Oplismenus</t>
  </si>
  <si>
    <t>Oplismenus spp.</t>
  </si>
  <si>
    <t>Basket Grass</t>
  </si>
  <si>
    <t>Galactia spp.</t>
  </si>
  <si>
    <t>Paspalum</t>
  </si>
  <si>
    <t>Bahiagrass</t>
  </si>
  <si>
    <t>Paspalum notatum</t>
  </si>
  <si>
    <t>Vitis rotundifolia</t>
  </si>
  <si>
    <t>Muscadine</t>
  </si>
  <si>
    <t>Verbanaceae</t>
  </si>
  <si>
    <t>Prunus virginiana</t>
  </si>
  <si>
    <t>Laurel Cherry</t>
  </si>
  <si>
    <t>Altingiaceae</t>
  </si>
  <si>
    <t>Liquidambar</t>
  </si>
  <si>
    <t>Liquidambar styraciflua</t>
  </si>
  <si>
    <t>Sweetgum</t>
  </si>
  <si>
    <t>Trifolium</t>
  </si>
  <si>
    <t>Trifolium spp.</t>
  </si>
  <si>
    <t>Clover</t>
  </si>
  <si>
    <t>Pinus taeda</t>
  </si>
  <si>
    <t>Loblolly Pine</t>
  </si>
  <si>
    <t>Quercus virginanna</t>
  </si>
  <si>
    <t>Live Oak</t>
  </si>
  <si>
    <t>LP5</t>
  </si>
  <si>
    <t>Smilax tamnoides</t>
  </si>
  <si>
    <t>Bristly Greenbrier</t>
  </si>
  <si>
    <t>Crotalaria spp.</t>
  </si>
  <si>
    <t>Rattlebox</t>
  </si>
  <si>
    <t>Esclaria</t>
  </si>
  <si>
    <t>Esclaria spp.</t>
  </si>
  <si>
    <t xml:space="preserve">Amphicarpaea </t>
  </si>
  <si>
    <t>Amphicarpaea bracteata</t>
  </si>
  <si>
    <t>Hog Peanut</t>
  </si>
  <si>
    <t>Rhynchosia</t>
  </si>
  <si>
    <t>Rhynchosia spp.</t>
  </si>
  <si>
    <t>Bristle Foxtail</t>
  </si>
  <si>
    <t>Smilax auriculata</t>
  </si>
  <si>
    <t>Earleaf Greenbriar</t>
  </si>
  <si>
    <t>Panicgrass</t>
  </si>
  <si>
    <t>Ipomoea spp.</t>
  </si>
  <si>
    <t>Morning Glory</t>
  </si>
  <si>
    <t>Andropogon gerardii</t>
  </si>
  <si>
    <t>Tall Bluestem</t>
  </si>
  <si>
    <t>Carya tomentosa</t>
  </si>
  <si>
    <t>Mockernut</t>
  </si>
  <si>
    <t>Desmodium</t>
  </si>
  <si>
    <t>Desmodium tortuosum</t>
  </si>
  <si>
    <t xml:space="preserve">Dixie Ticktrefoil </t>
  </si>
  <si>
    <t>UK - Celtis</t>
  </si>
  <si>
    <t>Latuca</t>
  </si>
  <si>
    <t>Latuca spp.</t>
  </si>
  <si>
    <t>Wild Lettuce</t>
  </si>
  <si>
    <t>LP6</t>
  </si>
  <si>
    <t>UK - Seedling</t>
  </si>
  <si>
    <t>Prunus caroliniana</t>
  </si>
  <si>
    <t>Cherry Laurel</t>
  </si>
  <si>
    <t>Serenoa</t>
  </si>
  <si>
    <t>Serenoa repens</t>
  </si>
  <si>
    <t>Saw Palmetto</t>
  </si>
  <si>
    <t>UK - Swampbay</t>
  </si>
  <si>
    <t>Crataegus</t>
  </si>
  <si>
    <t>Crataegus uniflora</t>
  </si>
  <si>
    <t>Dwarf Hawthorn</t>
  </si>
  <si>
    <t>LP7</t>
  </si>
  <si>
    <t>Cyperus rotundus</t>
  </si>
  <si>
    <t>Nutsedge</t>
  </si>
  <si>
    <t>UK - Guinea Bamboo</t>
  </si>
  <si>
    <t>Quercus falcata</t>
  </si>
  <si>
    <t>Southern Red Oak</t>
  </si>
  <si>
    <t>LP8</t>
  </si>
  <si>
    <t>Andropogon virginicus</t>
  </si>
  <si>
    <t>Broomsedge</t>
  </si>
  <si>
    <t xml:space="preserve">Solanaceae </t>
  </si>
  <si>
    <t>Solanum</t>
  </si>
  <si>
    <t>Solanum americanum</t>
  </si>
  <si>
    <t>American Nightshade</t>
  </si>
  <si>
    <t>UK - Double Edge Sedge</t>
  </si>
  <si>
    <t>Eupatorium</t>
  </si>
  <si>
    <t>Eupatorium capillifolium</t>
  </si>
  <si>
    <t>Dogfennel</t>
  </si>
  <si>
    <t>Chamaecrista</t>
  </si>
  <si>
    <t>Chamaecrista fasciculata</t>
  </si>
  <si>
    <t>Partridge Pea</t>
  </si>
  <si>
    <t>Euphorbia</t>
  </si>
  <si>
    <t>Euphorbia heterophylla</t>
  </si>
  <si>
    <t>Fiddler's Spurge</t>
  </si>
  <si>
    <t>Sonchus</t>
  </si>
  <si>
    <t>Sonchus spp.</t>
  </si>
  <si>
    <t>Thistle</t>
  </si>
  <si>
    <t>LP9</t>
  </si>
  <si>
    <t>UK - Whirled Spiky Stem Vine</t>
  </si>
  <si>
    <t xml:space="preserve">Geraniaceae </t>
  </si>
  <si>
    <t>Geranium</t>
  </si>
  <si>
    <t>Geranium carolinianum</t>
  </si>
  <si>
    <t>Carolina Cranesbill</t>
  </si>
  <si>
    <t>Cannabaceae</t>
  </si>
  <si>
    <t>Celtis</t>
  </si>
  <si>
    <t>Celtis laevigata</t>
  </si>
  <si>
    <t>Sugarberry</t>
  </si>
  <si>
    <t>Raphanus</t>
  </si>
  <si>
    <t>Raphanus spp.</t>
  </si>
  <si>
    <t>Wild Radish</t>
  </si>
  <si>
    <t>identification</t>
  </si>
  <si>
    <t>Ipomea</t>
  </si>
  <si>
    <t>Ipomea sp.</t>
  </si>
  <si>
    <t xml:space="preserve">This area was around a pine that was raked for fire. Vegetation was destroyed in this area. </t>
  </si>
  <si>
    <t>Aristida purpurascens</t>
  </si>
  <si>
    <t>Arrowfeather Threeawn</t>
  </si>
  <si>
    <t>*overstory</t>
  </si>
  <si>
    <t>Ranunculaceae</t>
  </si>
  <si>
    <t>Clematis</t>
  </si>
  <si>
    <t>Clematis sp.</t>
  </si>
  <si>
    <t>Buttercup</t>
  </si>
  <si>
    <t>Innocence</t>
  </si>
  <si>
    <t>Centrosema</t>
  </si>
  <si>
    <t>Centrosema virginianum</t>
  </si>
  <si>
    <t>Spurred Butterfly Pea</t>
  </si>
  <si>
    <t>Dichanthelium sp.</t>
  </si>
  <si>
    <t>Witchgrass</t>
  </si>
  <si>
    <t>Dichanthelium aciculare</t>
  </si>
  <si>
    <t>Needleleaf witchgrass</t>
  </si>
  <si>
    <t>Andropogan virginicus</t>
  </si>
  <si>
    <t>Broomsedge Bluestem</t>
  </si>
  <si>
    <t>Acalypha gracilens</t>
  </si>
  <si>
    <t>Galium</t>
  </si>
  <si>
    <t>Galium sp.</t>
  </si>
  <si>
    <t>Bedstraw</t>
  </si>
  <si>
    <t>Paspalum sp.</t>
  </si>
  <si>
    <t>Paspalum grass/Bahiagrass</t>
  </si>
  <si>
    <t>Vitis sp.</t>
  </si>
  <si>
    <t>Grapevine</t>
  </si>
  <si>
    <t>Fabaceae</t>
  </si>
  <si>
    <t>Rhynchofia</t>
  </si>
  <si>
    <t>Rhynchofia tomatosa</t>
  </si>
  <si>
    <t>Twining Snoutbean</t>
  </si>
  <si>
    <t>Toxicodendron</t>
  </si>
  <si>
    <t>Toxicodendron pubescens</t>
  </si>
  <si>
    <t>Poison Ivy</t>
  </si>
  <si>
    <t>Helianthus</t>
  </si>
  <si>
    <t>Helianthus sp.</t>
  </si>
  <si>
    <t>Sunflower</t>
  </si>
  <si>
    <t>Cyperaceae</t>
  </si>
  <si>
    <t>Scleria</t>
  </si>
  <si>
    <t>Scleria sp.</t>
  </si>
  <si>
    <t>Beggar ticks</t>
  </si>
  <si>
    <t>Solidago</t>
  </si>
  <si>
    <t>Solidago sp.</t>
  </si>
  <si>
    <t>Unk2 to small</t>
  </si>
  <si>
    <t>Clitoria</t>
  </si>
  <si>
    <t>Clitoria mariana</t>
  </si>
  <si>
    <t>Spurred butterfly pea</t>
  </si>
  <si>
    <t>Chimaphila</t>
  </si>
  <si>
    <t>Mitchella repens</t>
  </si>
  <si>
    <t>Patridgeberry</t>
  </si>
  <si>
    <t>Persea borbonia</t>
  </si>
  <si>
    <t>Red Bay</t>
  </si>
  <si>
    <t>Vitus</t>
  </si>
  <si>
    <t>Vitus sp</t>
  </si>
  <si>
    <t>Longleaf pine</t>
  </si>
  <si>
    <t>Quercus nigra</t>
  </si>
  <si>
    <t>Water Oak</t>
  </si>
  <si>
    <t>UK Furry Leaf</t>
  </si>
  <si>
    <t>Swamp chestnut oak</t>
  </si>
  <si>
    <t>unk1 fuzzy leaves</t>
  </si>
  <si>
    <t>pines raked for fire</t>
  </si>
  <si>
    <t>Aralia</t>
  </si>
  <si>
    <t>Toothache Tree</t>
  </si>
  <si>
    <t>Hercules club</t>
  </si>
  <si>
    <t>Houstonia</t>
  </si>
  <si>
    <t>Parthenocissus</t>
  </si>
  <si>
    <t>Virginia creeper</t>
  </si>
  <si>
    <t>also at 0 level</t>
  </si>
  <si>
    <t>Eryngyun yuccifolum</t>
  </si>
  <si>
    <t>Loblolly</t>
  </si>
  <si>
    <t>Juncaceae</t>
  </si>
  <si>
    <t>Juncus</t>
  </si>
  <si>
    <t>Juncus sp.</t>
  </si>
  <si>
    <t>Common/Soft Rush?</t>
  </si>
  <si>
    <t>Rubieae</t>
  </si>
  <si>
    <t>Galium sp</t>
  </si>
  <si>
    <t>Butterfly Pea</t>
  </si>
  <si>
    <t>Quercus sp</t>
  </si>
  <si>
    <t>unknown oak</t>
  </si>
  <si>
    <t>Saw Greenbrier</t>
  </si>
  <si>
    <t>Centrosema virginiana</t>
  </si>
  <si>
    <t>Albizia</t>
  </si>
  <si>
    <t>Albizia julibrissian</t>
  </si>
  <si>
    <t>Persian silk tree</t>
  </si>
  <si>
    <t>Coralbean</t>
  </si>
  <si>
    <t>Mitchella</t>
  </si>
  <si>
    <t>Euphorbia sp.</t>
  </si>
  <si>
    <t>Spurge</t>
  </si>
  <si>
    <t>Adoxaceae</t>
  </si>
  <si>
    <t>Viburnum</t>
  </si>
  <si>
    <t>Viburnum sp.</t>
  </si>
  <si>
    <t>overstory</t>
  </si>
  <si>
    <t>6*</t>
  </si>
  <si>
    <t>Smilex</t>
  </si>
  <si>
    <t>Smilax laurifolia</t>
  </si>
  <si>
    <t>Pines have been raked for fire</t>
  </si>
  <si>
    <t>Panicum</t>
  </si>
  <si>
    <t>Dichanthelium (Panicum) oligosinthes</t>
  </si>
  <si>
    <t>Panic Grass</t>
  </si>
  <si>
    <t>Andropogon sp</t>
  </si>
  <si>
    <t>Bluestem Grass</t>
  </si>
  <si>
    <t>Butterfly pea</t>
  </si>
  <si>
    <t>Hypericaceae</t>
  </si>
  <si>
    <t>Hypericum</t>
  </si>
  <si>
    <t>Hypericum sp.</t>
  </si>
  <si>
    <t>St Johns Wort</t>
  </si>
  <si>
    <t>Desmodium sp.</t>
  </si>
  <si>
    <t>Beggar lice</t>
  </si>
  <si>
    <t>Sorghum</t>
  </si>
  <si>
    <t>Sorghum halapense</t>
  </si>
  <si>
    <t>Johnson Grass</t>
  </si>
  <si>
    <t>Lettuce</t>
  </si>
  <si>
    <t>0*</t>
  </si>
  <si>
    <t>Andropogon spp.</t>
  </si>
  <si>
    <t>smilex laurifolia</t>
  </si>
  <si>
    <t>camphor tree</t>
  </si>
  <si>
    <t>Cynodon</t>
  </si>
  <si>
    <t>Cynodon dactylon</t>
  </si>
  <si>
    <t>Bermuda Grass</t>
  </si>
  <si>
    <t>Bahia Grass</t>
  </si>
  <si>
    <t>3*</t>
  </si>
  <si>
    <t>Laurelleaf Greenbrier</t>
  </si>
  <si>
    <t>Cinnamomum</t>
  </si>
  <si>
    <t>Cinnamomum camphora</t>
  </si>
  <si>
    <t>Camphor Tree</t>
  </si>
  <si>
    <t>4*</t>
  </si>
  <si>
    <t>also outisde</t>
  </si>
  <si>
    <t>Solidago spp.</t>
  </si>
  <si>
    <t>Magnoliaceae</t>
  </si>
  <si>
    <t>Magnolia</t>
  </si>
  <si>
    <t>Magnolia grandiflora</t>
  </si>
  <si>
    <t>Southern Magnolia</t>
  </si>
  <si>
    <t xml:space="preserve">Oplismenus undulatifolius </t>
  </si>
  <si>
    <t>lots of dead stuff and small stuff</t>
  </si>
  <si>
    <t>Labiatae</t>
  </si>
  <si>
    <t>Florida betony</t>
  </si>
  <si>
    <t>Oxalidales</t>
  </si>
  <si>
    <t>Oxalis sp.</t>
  </si>
  <si>
    <t>Woodsorrel</t>
  </si>
  <si>
    <t>Sorghum halepense</t>
  </si>
  <si>
    <t>Johnson grass</t>
  </si>
  <si>
    <t>Winged sumac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</si>
</sst>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Roboto"/>
    </font>
    <font>
      <sz val="10"/>
      <color rgb="FF000000"/>
      <name val="Arial"/>
    </font>
    <font>
      <sz val="10"/>
      <color rgb="FF000000"/>
      <name val="Robot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14" fontId="2" fillId="0" borderId="0" xfId="0" applyNumberFormat="1" applyFont="1" applyAlignment="1"/>
    <xf numFmtId="0" fontId="3" fillId="0" borderId="0" xfId="0" applyFont="1" applyAlignment="1"/>
    <xf numFmtId="0" fontId="1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276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2" width="10.42578125" customWidth="1"/>
    <col min="3" max="3" width="9.85546875" customWidth="1"/>
    <col min="4" max="4" width="7.7109375" customWidth="1"/>
    <col min="5" max="5" width="16.140625" customWidth="1"/>
    <col min="6" max="6" width="14.28515625" customWidth="1"/>
    <col min="7" max="7" width="25.7109375" customWidth="1"/>
    <col min="8" max="8" width="24.140625" customWidth="1"/>
    <col min="9" max="9" width="9.85546875" customWidth="1"/>
    <col min="10" max="10" width="18.7109375" customWidth="1"/>
    <col min="11" max="11" width="14.5703125" customWidth="1"/>
    <col min="12" max="12" width="20.28515625" customWidth="1"/>
    <col min="14" max="14" width="16.140625" customWidth="1"/>
    <col min="15" max="15" width="14.28515625" customWidth="1"/>
    <col min="16" max="16" width="24.42578125" customWidth="1"/>
    <col min="17" max="17" width="24.140625" customWidth="1"/>
    <col min="20" max="20" width="22.28515625" customWidth="1"/>
    <col min="21" max="21" width="22.140625" customWidth="1"/>
    <col min="22" max="22" width="24.42578125" customWidth="1"/>
    <col min="23" max="23" width="30" customWidth="1"/>
  </cols>
  <sheetData>
    <row r="1" spans="1: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2"/>
    </row>
    <row r="2" spans="1:24">
      <c r="A2" s="3">
        <v>1</v>
      </c>
      <c r="B2" s="4">
        <v>43434</v>
      </c>
      <c r="C2" s="3" t="s">
        <v>20</v>
      </c>
      <c r="D2" s="3">
        <v>4</v>
      </c>
      <c r="E2" s="3" t="s">
        <v>21</v>
      </c>
      <c r="F2" s="3" t="s">
        <v>22</v>
      </c>
      <c r="G2" s="3" t="s">
        <v>23</v>
      </c>
      <c r="H2" s="3" t="s">
        <v>24</v>
      </c>
      <c r="I2" s="3">
        <v>5</v>
      </c>
      <c r="J2" s="3">
        <v>8</v>
      </c>
      <c r="O2" t="str">
        <f ca="1">IFERROR(__xludf.DUMMYFUNCTION("UNIQUE(U2:U276)"),".")</f>
        <v>.</v>
      </c>
      <c r="P2" t="str">
        <f ca="1">IFERROR(__xludf.DUMMYFUNCTION("UNIQUE(V2:V276)"),".")</f>
        <v>.</v>
      </c>
      <c r="Q2" t="str">
        <f ca="1">IFERROR(__xludf.DUMMYFUNCTION("UNIQUE(W2:W276)"),".")</f>
        <v>.</v>
      </c>
      <c r="T2" t="e">
        <f t="shared" ref="T2:W2" ca="1" si="0">_xludf.SORT(E2:E276)</f>
        <v>#NAME?</v>
      </c>
      <c r="U2" t="e">
        <f t="shared" ca="1" si="0"/>
        <v>#NAME?</v>
      </c>
      <c r="V2" t="e">
        <f t="shared" ca="1" si="0"/>
        <v>#NAME?</v>
      </c>
      <c r="W2" t="e">
        <f t="shared" ca="1" si="0"/>
        <v>#NAME?</v>
      </c>
    </row>
    <row r="3" spans="1:24">
      <c r="A3" s="3">
        <v>1</v>
      </c>
      <c r="B3" s="4">
        <v>43434</v>
      </c>
      <c r="C3" s="3" t="s">
        <v>20</v>
      </c>
      <c r="D3" s="3">
        <v>2</v>
      </c>
      <c r="E3" s="3" t="s">
        <v>25</v>
      </c>
      <c r="F3" s="3" t="s">
        <v>26</v>
      </c>
      <c r="G3" s="3" t="s">
        <v>27</v>
      </c>
      <c r="H3" s="3" t="s">
        <v>28</v>
      </c>
      <c r="I3" s="3">
        <v>5</v>
      </c>
      <c r="J3" s="3">
        <v>6</v>
      </c>
      <c r="O3" t="str">
        <f ca="1">IFERROR(__xludf.DUMMYFUNCTION("""COMPUTED_VALUE"""),"Acalypha")</f>
        <v>Acalypha</v>
      </c>
      <c r="P3" t="str">
        <f ca="1">IFERROR(__xludf.DUMMYFUNCTION("""COMPUTED_VALUE"""),"Acalyphagracilens")</f>
        <v>Acalyphagracilens</v>
      </c>
      <c r="Q3" t="str">
        <f ca="1">IFERROR(__xludf.DUMMYFUNCTION("""COMPUTED_VALUE"""),"American Nightshade")</f>
        <v>American Nightshade</v>
      </c>
    </row>
    <row r="4" spans="1:24">
      <c r="A4" s="3">
        <v>1</v>
      </c>
      <c r="B4" s="4">
        <v>43434</v>
      </c>
      <c r="C4" s="3" t="s">
        <v>20</v>
      </c>
      <c r="D4" s="3">
        <v>3</v>
      </c>
      <c r="E4" s="3" t="s">
        <v>29</v>
      </c>
      <c r="F4" s="3" t="s">
        <v>30</v>
      </c>
      <c r="G4" s="3" t="s">
        <v>31</v>
      </c>
      <c r="H4" s="3" t="s">
        <v>32</v>
      </c>
      <c r="I4" s="3">
        <v>4</v>
      </c>
      <c r="J4" s="3">
        <v>6</v>
      </c>
      <c r="O4" t="str">
        <f ca="1">IFERROR(__xludf.DUMMYFUNCTION("""COMPUTED_VALUE"""),"Ageratina")</f>
        <v>Ageratina</v>
      </c>
      <c r="P4" t="str">
        <f ca="1">IFERROR(__xludf.DUMMYFUNCTION("""COMPUTED_VALUE"""),"Ageratina jucunda
")</f>
        <v xml:space="preserve">Ageratina jucunda
</v>
      </c>
      <c r="Q4" t="str">
        <f ca="1">IFERROR(__xludf.DUMMYFUNCTION("""COMPUTED_VALUE"""),"Basket Grass")</f>
        <v>Basket Grass</v>
      </c>
    </row>
    <row r="5" spans="1:24">
      <c r="A5" s="3">
        <v>1</v>
      </c>
      <c r="B5" s="4">
        <v>43434</v>
      </c>
      <c r="C5" s="3" t="s">
        <v>20</v>
      </c>
      <c r="D5" s="3">
        <v>4</v>
      </c>
      <c r="E5" s="3" t="s">
        <v>25</v>
      </c>
      <c r="F5" s="3" t="s">
        <v>33</v>
      </c>
      <c r="G5" s="3" t="s">
        <v>34</v>
      </c>
      <c r="H5" s="3" t="s">
        <v>35</v>
      </c>
      <c r="I5" s="3">
        <v>3</v>
      </c>
      <c r="J5" s="3">
        <v>5</v>
      </c>
      <c r="O5" t="str">
        <f ca="1">IFERROR(__xludf.DUMMYFUNCTION("""COMPUTED_VALUE"""),"Ambrosia")</f>
        <v>Ambrosia</v>
      </c>
      <c r="P5" t="str">
        <f ca="1">IFERROR(__xludf.DUMMYFUNCTION("""COMPUTED_VALUE"""),"Ambrosia artemisiifolia")</f>
        <v>Ambrosia artemisiifolia</v>
      </c>
      <c r="Q5" t="str">
        <f ca="1">IFERROR(__xludf.DUMMYFUNCTION("""COMPUTED_VALUE"""),"Beautyberry")</f>
        <v>Beautyberry</v>
      </c>
    </row>
    <row r="6" spans="1:24">
      <c r="A6" s="3">
        <v>1</v>
      </c>
      <c r="B6" s="4">
        <v>43434</v>
      </c>
      <c r="C6" s="3" t="s">
        <v>20</v>
      </c>
      <c r="D6" s="3">
        <v>2</v>
      </c>
      <c r="E6" s="3" t="s">
        <v>36</v>
      </c>
      <c r="F6" s="3" t="s">
        <v>37</v>
      </c>
      <c r="G6" s="3" t="s">
        <v>38</v>
      </c>
      <c r="H6" s="3" t="s">
        <v>39</v>
      </c>
      <c r="I6" s="3">
        <v>3</v>
      </c>
      <c r="J6" s="3">
        <v>5</v>
      </c>
      <c r="O6" t="str">
        <f ca="1">IFERROR(__xludf.DUMMYFUNCTION("""COMPUTED_VALUE"""),"Amphicarpaea ")</f>
        <v xml:space="preserve">Amphicarpaea </v>
      </c>
      <c r="P6" t="str">
        <f ca="1">IFERROR(__xludf.DUMMYFUNCTION("""COMPUTED_VALUE"""),"Amphicarpaea bracteata")</f>
        <v>Amphicarpaea bracteata</v>
      </c>
      <c r="Q6" t="str">
        <f ca="1">IFERROR(__xludf.DUMMYFUNCTION("""COMPUTED_VALUE"""),"Black Cherry")</f>
        <v>Black Cherry</v>
      </c>
    </row>
    <row r="7" spans="1:24">
      <c r="A7" s="3">
        <v>1</v>
      </c>
      <c r="B7" s="4">
        <v>43434</v>
      </c>
      <c r="C7" s="3" t="s">
        <v>20</v>
      </c>
      <c r="D7" s="3">
        <v>4</v>
      </c>
      <c r="E7" s="3" t="s">
        <v>40</v>
      </c>
      <c r="F7" s="3" t="s">
        <v>41</v>
      </c>
      <c r="G7" s="3" t="s">
        <v>42</v>
      </c>
      <c r="H7" s="3" t="s">
        <v>43</v>
      </c>
      <c r="I7" s="3">
        <v>3</v>
      </c>
      <c r="J7" s="3">
        <v>5</v>
      </c>
      <c r="O7" t="str">
        <f ca="1">IFERROR(__xludf.DUMMYFUNCTION("""COMPUTED_VALUE"""),"Andropogon")</f>
        <v>Andropogon</v>
      </c>
      <c r="P7" t="str">
        <f ca="1">IFERROR(__xludf.DUMMYFUNCTION("""COMPUTED_VALUE"""),"Andropogon gerardii")</f>
        <v>Andropogon gerardii</v>
      </c>
      <c r="Q7" t="str">
        <f ca="1">IFERROR(__xludf.DUMMYFUNCTION("""COMPUTED_VALUE"""),"Bracken Fern")</f>
        <v>Bracken Fern</v>
      </c>
    </row>
    <row r="8" spans="1:24">
      <c r="A8" s="3">
        <v>1</v>
      </c>
      <c r="B8" s="4">
        <v>43434</v>
      </c>
      <c r="C8" s="3" t="s">
        <v>20</v>
      </c>
      <c r="D8" s="3">
        <v>4</v>
      </c>
      <c r="E8" s="3" t="s">
        <v>44</v>
      </c>
      <c r="F8" s="3" t="s">
        <v>45</v>
      </c>
      <c r="G8" s="3" t="s">
        <v>46</v>
      </c>
      <c r="H8" s="3" t="s">
        <v>47</v>
      </c>
      <c r="I8" s="3">
        <v>3</v>
      </c>
      <c r="J8" s="3">
        <v>4</v>
      </c>
      <c r="O8" t="str">
        <f ca="1">IFERROR(__xludf.DUMMYFUNCTION("""COMPUTED_VALUE"""),"Aralia ")</f>
        <v xml:space="preserve">Aralia </v>
      </c>
      <c r="P8" t="str">
        <f ca="1">IFERROR(__xludf.DUMMYFUNCTION("""COMPUTED_VALUE"""),"Andropogon gyrans")</f>
        <v>Andropogon gyrans</v>
      </c>
      <c r="Q8" t="str">
        <f ca="1">IFERROR(__xludf.DUMMYFUNCTION("""COMPUTED_VALUE"""),"Bristle Foxtail")</f>
        <v>Bristle Foxtail</v>
      </c>
    </row>
    <row r="9" spans="1:24">
      <c r="A9" s="3">
        <v>1</v>
      </c>
      <c r="B9" s="4">
        <v>43434</v>
      </c>
      <c r="C9" s="3" t="s">
        <v>20</v>
      </c>
      <c r="D9" s="3">
        <v>4</v>
      </c>
      <c r="E9" s="3" t="s">
        <v>25</v>
      </c>
      <c r="F9" s="3" t="s">
        <v>48</v>
      </c>
      <c r="G9" s="3" t="s">
        <v>49</v>
      </c>
      <c r="H9" s="3" t="s">
        <v>50</v>
      </c>
      <c r="I9" s="3">
        <v>2</v>
      </c>
      <c r="J9" s="3">
        <v>5</v>
      </c>
      <c r="O9" t="str">
        <f ca="1">IFERROR(__xludf.DUMMYFUNCTION("""COMPUTED_VALUE"""),"Aristida")</f>
        <v>Aristida</v>
      </c>
      <c r="P9" t="str">
        <f ca="1">IFERROR(__xludf.DUMMYFUNCTION("""COMPUTED_VALUE"""),"Andropogon virginicus")</f>
        <v>Andropogon virginicus</v>
      </c>
      <c r="Q9" t="str">
        <f ca="1">IFERROR(__xludf.DUMMYFUNCTION("""COMPUTED_VALUE"""),"Bristly Greenbrier")</f>
        <v>Bristly Greenbrier</v>
      </c>
    </row>
    <row r="10" spans="1:24">
      <c r="A10" s="3">
        <v>1</v>
      </c>
      <c r="B10" s="4">
        <v>43434</v>
      </c>
      <c r="C10" s="3" t="s">
        <v>20</v>
      </c>
      <c r="D10" s="3">
        <v>4</v>
      </c>
      <c r="E10" s="3" t="s">
        <v>51</v>
      </c>
      <c r="F10" s="3" t="s">
        <v>52</v>
      </c>
      <c r="G10" s="3" t="s">
        <v>53</v>
      </c>
      <c r="H10" s="3" t="s">
        <v>54</v>
      </c>
      <c r="I10" s="3">
        <v>2</v>
      </c>
      <c r="J10" s="3">
        <v>5</v>
      </c>
      <c r="O10" t="str">
        <f ca="1">IFERROR(__xludf.DUMMYFUNCTION("""COMPUTED_VALUE"""),"Asimina")</f>
        <v>Asimina</v>
      </c>
      <c r="P10" t="str">
        <f ca="1">IFERROR(__xludf.DUMMYFUNCTION("""COMPUTED_VALUE"""),"Aralia spinosa")</f>
        <v>Aralia spinosa</v>
      </c>
      <c r="Q10" t="str">
        <f ca="1">IFERROR(__xludf.DUMMYFUNCTION("""COMPUTED_VALUE"""),"Broomsedge")</f>
        <v>Broomsedge</v>
      </c>
    </row>
    <row r="11" spans="1:24">
      <c r="A11" s="3">
        <v>1</v>
      </c>
      <c r="B11" s="4">
        <v>43434</v>
      </c>
      <c r="C11" s="3" t="s">
        <v>20</v>
      </c>
      <c r="D11" s="3">
        <v>4</v>
      </c>
      <c r="E11" s="3" t="s">
        <v>55</v>
      </c>
      <c r="F11" s="3" t="s">
        <v>56</v>
      </c>
      <c r="G11" s="3" t="s">
        <v>57</v>
      </c>
      <c r="H11" s="3" t="s">
        <v>58</v>
      </c>
      <c r="I11" s="3">
        <v>2</v>
      </c>
      <c r="J11" s="3">
        <v>4</v>
      </c>
      <c r="O11" t="str">
        <f ca="1">IFERROR(__xludf.DUMMYFUNCTION("""COMPUTED_VALUE"""),"Bidens")</f>
        <v>Bidens</v>
      </c>
      <c r="P11" t="str">
        <f ca="1">IFERROR(__xludf.DUMMYFUNCTION("""COMPUTED_VALUE"""),"Aristida stricta")</f>
        <v>Aristida stricta</v>
      </c>
      <c r="Q11" t="str">
        <f ca="1">IFERROR(__xludf.DUMMYFUNCTION("""COMPUTED_VALUE"""),"Cabbage Palm")</f>
        <v>Cabbage Palm</v>
      </c>
    </row>
    <row r="12" spans="1:24">
      <c r="A12" s="3">
        <v>1</v>
      </c>
      <c r="B12" s="4">
        <v>43434</v>
      </c>
      <c r="C12" s="3" t="s">
        <v>20</v>
      </c>
      <c r="D12" s="3">
        <v>4</v>
      </c>
      <c r="E12" s="3" t="s">
        <v>59</v>
      </c>
      <c r="F12" s="3" t="s">
        <v>60</v>
      </c>
      <c r="G12" s="3" t="s">
        <v>61</v>
      </c>
      <c r="H12" s="3" t="s">
        <v>62</v>
      </c>
      <c r="I12" s="3">
        <v>2</v>
      </c>
      <c r="J12" s="3">
        <v>3</v>
      </c>
      <c r="O12" t="str">
        <f ca="1">IFERROR(__xludf.DUMMYFUNCTION("""COMPUTED_VALUE"""),"Bublbostylis")</f>
        <v>Bublbostylis</v>
      </c>
      <c r="P12" t="str">
        <f ca="1">IFERROR(__xludf.DUMMYFUNCTION("""COMPUTED_VALUE"""),"Asimina angustifolia")</f>
        <v>Asimina angustifolia</v>
      </c>
      <c r="Q12" t="str">
        <f ca="1">IFERROR(__xludf.DUMMYFUNCTION("""COMPUTED_VALUE"""),"Carolina Cranesbill")</f>
        <v>Carolina Cranesbill</v>
      </c>
    </row>
    <row r="13" spans="1:24">
      <c r="A13" s="3">
        <v>1</v>
      </c>
      <c r="B13" s="4">
        <v>43434</v>
      </c>
      <c r="C13" s="3" t="s">
        <v>20</v>
      </c>
      <c r="D13" s="3">
        <v>4</v>
      </c>
      <c r="E13" s="3" t="s">
        <v>63</v>
      </c>
      <c r="F13" s="3" t="s">
        <v>64</v>
      </c>
      <c r="G13" s="3" t="s">
        <v>65</v>
      </c>
      <c r="H13" s="3" t="s">
        <v>66</v>
      </c>
      <c r="I13" s="3">
        <v>2</v>
      </c>
      <c r="J13" s="3">
        <v>2</v>
      </c>
      <c r="O13" t="str">
        <f ca="1">IFERROR(__xludf.DUMMYFUNCTION("""COMPUTED_VALUE"""),"Callicarpa")</f>
        <v>Callicarpa</v>
      </c>
      <c r="P13" t="str">
        <f ca="1">IFERROR(__xludf.DUMMYFUNCTION("""COMPUTED_VALUE"""),"Bahiagrass")</f>
        <v>Bahiagrass</v>
      </c>
      <c r="Q13" t="str">
        <f ca="1">IFERROR(__xludf.DUMMYFUNCTION("""COMPUTED_VALUE"""),"Catbriar")</f>
        <v>Catbriar</v>
      </c>
    </row>
    <row r="14" spans="1:24">
      <c r="A14" s="3">
        <v>1</v>
      </c>
      <c r="B14" s="4">
        <v>43434</v>
      </c>
      <c r="C14" s="3" t="s">
        <v>20</v>
      </c>
      <c r="D14" s="3">
        <v>4</v>
      </c>
      <c r="E14" s="3" t="s">
        <v>67</v>
      </c>
      <c r="F14" s="3" t="s">
        <v>68</v>
      </c>
      <c r="G14" s="3" t="s">
        <v>69</v>
      </c>
      <c r="H14" s="3" t="s">
        <v>70</v>
      </c>
      <c r="I14" s="3">
        <v>1</v>
      </c>
      <c r="J14" s="3">
        <v>7</v>
      </c>
      <c r="K14" s="3" t="s">
        <v>71</v>
      </c>
      <c r="O14" t="str">
        <f ca="1">IFERROR(__xludf.DUMMYFUNCTION("""COMPUTED_VALUE"""),"Carya")</f>
        <v>Carya</v>
      </c>
      <c r="P14" t="str">
        <f ca="1">IFERROR(__xludf.DUMMYFUNCTION("""COMPUTED_VALUE"""),"Bidens alba")</f>
        <v>Bidens alba</v>
      </c>
      <c r="Q14" t="str">
        <f ca="1">IFERROR(__xludf.DUMMYFUNCTION("""COMPUTED_VALUE"""),"Chamberbitter")</f>
        <v>Chamberbitter</v>
      </c>
    </row>
    <row r="15" spans="1:24">
      <c r="A15" s="3">
        <v>1</v>
      </c>
      <c r="B15" s="4">
        <v>43434</v>
      </c>
      <c r="C15" s="3" t="s">
        <v>20</v>
      </c>
      <c r="D15" s="3">
        <v>4</v>
      </c>
      <c r="E15" s="3" t="s">
        <v>21</v>
      </c>
      <c r="F15" s="3" t="s">
        <v>72</v>
      </c>
      <c r="G15" s="3" t="s">
        <v>73</v>
      </c>
      <c r="H15" s="3" t="s">
        <v>74</v>
      </c>
      <c r="I15" s="3">
        <v>1</v>
      </c>
      <c r="J15" s="3">
        <v>4</v>
      </c>
      <c r="O15" t="str">
        <f ca="1">IFERROR(__xludf.DUMMYFUNCTION("""COMPUTED_VALUE"""),"Celtis")</f>
        <v>Celtis</v>
      </c>
      <c r="P15" t="str">
        <f ca="1">IFERROR(__xludf.DUMMYFUNCTION("""COMPUTED_VALUE"""),"Bulbostylis spp.")</f>
        <v>Bulbostylis spp.</v>
      </c>
      <c r="Q15" t="str">
        <f ca="1">IFERROR(__xludf.DUMMYFUNCTION("""COMPUTED_VALUE"""),"Cherokee Bean")</f>
        <v>Cherokee Bean</v>
      </c>
    </row>
    <row r="16" spans="1:24">
      <c r="A16" s="3">
        <v>1</v>
      </c>
      <c r="B16" s="4">
        <v>43434</v>
      </c>
      <c r="C16" s="3" t="s">
        <v>20</v>
      </c>
      <c r="D16" s="3">
        <v>1</v>
      </c>
      <c r="E16" s="3" t="s">
        <v>75</v>
      </c>
      <c r="F16" s="3" t="s">
        <v>75</v>
      </c>
      <c r="G16" s="3" t="s">
        <v>76</v>
      </c>
      <c r="H16" s="5" t="s">
        <v>75</v>
      </c>
      <c r="I16" s="3">
        <v>1</v>
      </c>
      <c r="J16" s="3">
        <v>3</v>
      </c>
      <c r="O16" t="str">
        <f ca="1">IFERROR(__xludf.DUMMYFUNCTION("""COMPUTED_VALUE"""),"Chamaecrista")</f>
        <v>Chamaecrista</v>
      </c>
      <c r="P16" t="str">
        <f ca="1">IFERROR(__xludf.DUMMYFUNCTION("""COMPUTED_VALUE"""),"Callicarpa americana")</f>
        <v>Callicarpa americana</v>
      </c>
      <c r="Q16" t="str">
        <f ca="1">IFERROR(__xludf.DUMMYFUNCTION("""COMPUTED_VALUE"""),"Cherry Laurel")</f>
        <v>Cherry Laurel</v>
      </c>
    </row>
    <row r="17" spans="1:17">
      <c r="A17" s="3">
        <v>1</v>
      </c>
      <c r="B17" s="4">
        <v>43434</v>
      </c>
      <c r="C17" s="3" t="s">
        <v>20</v>
      </c>
      <c r="D17" s="3">
        <v>4</v>
      </c>
      <c r="E17" s="3" t="s">
        <v>77</v>
      </c>
      <c r="F17" s="3" t="s">
        <v>78</v>
      </c>
      <c r="G17" s="3" t="s">
        <v>79</v>
      </c>
      <c r="H17" s="3" t="s">
        <v>80</v>
      </c>
      <c r="I17" s="3">
        <v>1</v>
      </c>
      <c r="J17" s="3">
        <v>3</v>
      </c>
      <c r="O17" t="str">
        <f ca="1">IFERROR(__xludf.DUMMYFUNCTION("""COMPUTED_VALUE"""),"Cnidoscolus")</f>
        <v>Cnidoscolus</v>
      </c>
      <c r="P17" t="str">
        <f ca="1">IFERROR(__xludf.DUMMYFUNCTION("""COMPUTED_VALUE"""),"Carya glabra")</f>
        <v>Carya glabra</v>
      </c>
      <c r="Q17" t="str">
        <f ca="1">IFERROR(__xludf.DUMMYFUNCTION("""COMPUTED_VALUE"""),"Clover")</f>
        <v>Clover</v>
      </c>
    </row>
    <row r="18" spans="1:17">
      <c r="A18" s="3">
        <v>1</v>
      </c>
      <c r="B18" s="4">
        <v>43434</v>
      </c>
      <c r="C18" s="3" t="s">
        <v>20</v>
      </c>
      <c r="D18" s="3">
        <v>3</v>
      </c>
      <c r="E18" s="3" t="s">
        <v>81</v>
      </c>
      <c r="F18" s="3" t="s">
        <v>82</v>
      </c>
      <c r="G18" s="3" t="s">
        <v>83</v>
      </c>
      <c r="H18" s="3" t="s">
        <v>82</v>
      </c>
      <c r="I18" s="3">
        <v>1</v>
      </c>
      <c r="J18" s="3">
        <v>3</v>
      </c>
      <c r="O18" t="str">
        <f ca="1">IFERROR(__xludf.DUMMYFUNCTION("""COMPUTED_VALUE"""),"Crataegus")</f>
        <v>Crataegus</v>
      </c>
      <c r="P18" t="str">
        <f ca="1">IFERROR(__xludf.DUMMYFUNCTION("""COMPUTED_VALUE"""),"Carya tomentosa")</f>
        <v>Carya tomentosa</v>
      </c>
      <c r="Q18" t="str">
        <f ca="1">IFERROR(__xludf.DUMMYFUNCTION("""COMPUTED_VALUE"""),"Coastal Plain Hawkweed")</f>
        <v>Coastal Plain Hawkweed</v>
      </c>
    </row>
    <row r="19" spans="1:17">
      <c r="A19" s="3">
        <v>1</v>
      </c>
      <c r="B19" s="4">
        <v>43434</v>
      </c>
      <c r="C19" s="3" t="s">
        <v>20</v>
      </c>
      <c r="D19" s="3">
        <v>2</v>
      </c>
      <c r="E19" s="3" t="s">
        <v>84</v>
      </c>
      <c r="F19" s="3" t="s">
        <v>85</v>
      </c>
      <c r="G19" s="3" t="s">
        <v>86</v>
      </c>
      <c r="H19" s="3" t="s">
        <v>87</v>
      </c>
      <c r="I19" s="3">
        <v>1</v>
      </c>
      <c r="J19" s="3">
        <v>2</v>
      </c>
      <c r="O19" t="str">
        <f ca="1">IFERROR(__xludf.DUMMYFUNCTION("""COMPUTED_VALUE"""),"Crotalaria")</f>
        <v>Crotalaria</v>
      </c>
      <c r="P19" t="str">
        <f ca="1">IFERROR(__xludf.DUMMYFUNCTION("""COMPUTED_VALUE"""),"Celtis laevigata")</f>
        <v>Celtis laevigata</v>
      </c>
      <c r="Q19" t="str">
        <f ca="1">IFERROR(__xludf.DUMMYFUNCTION("""COMPUTED_VALUE"""),"Cypress Vine")</f>
        <v>Cypress Vine</v>
      </c>
    </row>
    <row r="20" spans="1:17">
      <c r="A20" s="3">
        <v>1</v>
      </c>
      <c r="B20" s="4">
        <v>43434</v>
      </c>
      <c r="C20" s="3" t="s">
        <v>20</v>
      </c>
      <c r="D20" s="3">
        <v>4</v>
      </c>
      <c r="E20" s="3" t="s">
        <v>88</v>
      </c>
      <c r="F20" s="3" t="s">
        <v>89</v>
      </c>
      <c r="G20" s="3" t="s">
        <v>90</v>
      </c>
      <c r="H20" s="3" t="s">
        <v>91</v>
      </c>
      <c r="I20" s="3">
        <v>1</v>
      </c>
      <c r="J20" s="3">
        <v>2</v>
      </c>
      <c r="O20" t="str">
        <f ca="1">IFERROR(__xludf.DUMMYFUNCTION("""COMPUTED_VALUE"""),"Cyperus")</f>
        <v>Cyperus</v>
      </c>
      <c r="P20" t="str">
        <f ca="1">IFERROR(__xludf.DUMMYFUNCTION("""COMPUTED_VALUE"""),"Chamaecrista fasciculata")</f>
        <v>Chamaecrista fasciculata</v>
      </c>
      <c r="Q20" t="str">
        <f ca="1">IFERROR(__xludf.DUMMYFUNCTION("""COMPUTED_VALUE"""),"Deerberry")</f>
        <v>Deerberry</v>
      </c>
    </row>
    <row r="21" spans="1:17">
      <c r="A21" s="3">
        <v>1</v>
      </c>
      <c r="B21" s="4">
        <v>43434</v>
      </c>
      <c r="C21" s="3" t="s">
        <v>92</v>
      </c>
      <c r="D21" s="3" t="s">
        <v>75</v>
      </c>
      <c r="E21" s="3" t="s">
        <v>75</v>
      </c>
      <c r="F21" s="3" t="s">
        <v>75</v>
      </c>
      <c r="G21" s="3" t="s">
        <v>93</v>
      </c>
      <c r="H21" s="3" t="s">
        <v>75</v>
      </c>
      <c r="I21" s="3">
        <v>5</v>
      </c>
      <c r="J21" s="3">
        <v>4</v>
      </c>
      <c r="O21" t="str">
        <f ca="1">IFERROR(__xludf.DUMMYFUNCTION("""COMPUTED_VALUE"""),"Desmodium")</f>
        <v>Desmodium</v>
      </c>
      <c r="P21" t="str">
        <f ca="1">IFERROR(__xludf.DUMMYFUNCTION("""COMPUTED_VALUE"""),"Cnidoscolus urens")</f>
        <v>Cnidoscolus urens</v>
      </c>
      <c r="Q21" t="str">
        <f ca="1">IFERROR(__xludf.DUMMYFUNCTION("""COMPUTED_VALUE"""),"Devil's Walkingstick")</f>
        <v>Devil's Walkingstick</v>
      </c>
    </row>
    <row r="22" spans="1:17">
      <c r="A22" s="3">
        <v>1</v>
      </c>
      <c r="B22" s="4">
        <v>43434</v>
      </c>
      <c r="C22" s="3" t="s">
        <v>92</v>
      </c>
      <c r="D22" s="3">
        <v>4</v>
      </c>
      <c r="E22" s="3" t="s">
        <v>94</v>
      </c>
      <c r="F22" s="3" t="s">
        <v>95</v>
      </c>
      <c r="G22" s="3" t="s">
        <v>96</v>
      </c>
      <c r="H22" s="3" t="s">
        <v>97</v>
      </c>
      <c r="I22" s="3">
        <v>4</v>
      </c>
      <c r="J22" s="3">
        <v>6</v>
      </c>
      <c r="L22" s="1" t="s">
        <v>98</v>
      </c>
      <c r="O22" t="str">
        <f ca="1">IFERROR(__xludf.DUMMYFUNCTION("""COMPUTED_VALUE"""),"Dichanthelium")</f>
        <v>Dichanthelium</v>
      </c>
      <c r="P22" t="str">
        <f ca="1">IFERROR(__xludf.DUMMYFUNCTION("""COMPUTED_VALUE"""),"Crataegus uniflora")</f>
        <v>Crataegus uniflora</v>
      </c>
      <c r="Q22" t="str">
        <f ca="1">IFERROR(__xludf.DUMMYFUNCTION("""COMPUTED_VALUE"""),"Diodia")</f>
        <v>Diodia</v>
      </c>
    </row>
    <row r="23" spans="1:17">
      <c r="A23" s="3">
        <v>1</v>
      </c>
      <c r="B23" s="4">
        <v>43434</v>
      </c>
      <c r="C23" s="3" t="s">
        <v>92</v>
      </c>
      <c r="D23" s="3">
        <v>4</v>
      </c>
      <c r="E23" s="3" t="s">
        <v>81</v>
      </c>
      <c r="F23" s="3" t="s">
        <v>82</v>
      </c>
      <c r="G23" s="3" t="s">
        <v>99</v>
      </c>
      <c r="H23" s="3" t="s">
        <v>100</v>
      </c>
      <c r="I23" s="3">
        <v>4</v>
      </c>
      <c r="J23" s="3">
        <v>4</v>
      </c>
      <c r="L23" s="3">
        <f ca="1">IFERROR(__xludf.DUMMYFUNCTION("COUNTUNIQUE(N22:N276)"),9)</f>
        <v>9</v>
      </c>
      <c r="O23" t="str">
        <f ca="1">IFERROR(__xludf.DUMMYFUNCTION("""COMPUTED_VALUE"""),"Diodia")</f>
        <v>Diodia</v>
      </c>
      <c r="P23" t="str">
        <f ca="1">IFERROR(__xludf.DUMMYFUNCTION("""COMPUTED_VALUE"""),"Crotalaria lanceolata")</f>
        <v>Crotalaria lanceolata</v>
      </c>
      <c r="Q23" t="str">
        <f ca="1">IFERROR(__xludf.DUMMYFUNCTION("""COMPUTED_VALUE"""),"Dixie Ticktrefoil ")</f>
        <v xml:space="preserve">Dixie Ticktrefoil </v>
      </c>
    </row>
    <row r="24" spans="1:17">
      <c r="A24" s="3">
        <v>1</v>
      </c>
      <c r="B24" s="4">
        <v>43434</v>
      </c>
      <c r="C24" s="3" t="s">
        <v>92</v>
      </c>
      <c r="D24" s="3">
        <v>4</v>
      </c>
      <c r="E24" s="3" t="s">
        <v>25</v>
      </c>
      <c r="F24" s="3" t="s">
        <v>101</v>
      </c>
      <c r="G24" s="3" t="s">
        <v>102</v>
      </c>
      <c r="H24" s="3" t="s">
        <v>103</v>
      </c>
      <c r="I24" s="3">
        <v>3</v>
      </c>
      <c r="J24" s="3">
        <v>8</v>
      </c>
      <c r="L24" s="3">
        <f ca="1">IFERROR(__xludf.DUMMYFUNCTION("COUNTUNIQUE(#REF!)"),1)</f>
        <v>1</v>
      </c>
      <c r="O24" t="str">
        <f ca="1">IFERROR(__xludf.DUMMYFUNCTION("""COMPUTED_VALUE"""),"Diospyros ")</f>
        <v xml:space="preserve">Diospyros </v>
      </c>
      <c r="P24" t="str">
        <f ca="1">IFERROR(__xludf.DUMMYFUNCTION("""COMPUTED_VALUE"""),"Crotalaria spp.")</f>
        <v>Crotalaria spp.</v>
      </c>
      <c r="Q24" t="str">
        <f ca="1">IFERROR(__xludf.DUMMYFUNCTION("""COMPUTED_VALUE"""),"Dogfennel")</f>
        <v>Dogfennel</v>
      </c>
    </row>
    <row r="25" spans="1:17">
      <c r="A25" s="3">
        <v>1</v>
      </c>
      <c r="B25" s="4">
        <v>43434</v>
      </c>
      <c r="C25" s="3" t="s">
        <v>92</v>
      </c>
      <c r="D25" s="3">
        <v>4</v>
      </c>
      <c r="E25" s="3" t="s">
        <v>67</v>
      </c>
      <c r="F25" s="3" t="s">
        <v>68</v>
      </c>
      <c r="G25" s="3" t="s">
        <v>69</v>
      </c>
      <c r="H25" s="3" t="s">
        <v>70</v>
      </c>
      <c r="I25" s="3">
        <v>3</v>
      </c>
      <c r="J25" s="3">
        <v>7</v>
      </c>
      <c r="O25" t="str">
        <f ca="1">IFERROR(__xludf.DUMMYFUNCTION("""COMPUTED_VALUE"""),"Dyschoriste")</f>
        <v>Dyschoriste</v>
      </c>
      <c r="P25" t="str">
        <f ca="1">IFERROR(__xludf.DUMMYFUNCTION("""COMPUTED_VALUE"""),"Cyperus rotundus")</f>
        <v>Cyperus rotundus</v>
      </c>
      <c r="Q25" t="str">
        <f ca="1">IFERROR(__xludf.DUMMYFUNCTION("""COMPUTED_VALUE"""),"Dwarf Hawthorn")</f>
        <v>Dwarf Hawthorn</v>
      </c>
    </row>
    <row r="26" spans="1:17">
      <c r="A26" s="3">
        <v>1</v>
      </c>
      <c r="B26" s="4">
        <v>43434</v>
      </c>
      <c r="C26" s="3" t="s">
        <v>92</v>
      </c>
      <c r="D26" s="3">
        <v>4</v>
      </c>
      <c r="E26" s="3" t="s">
        <v>104</v>
      </c>
      <c r="F26" s="3" t="s">
        <v>105</v>
      </c>
      <c r="G26" s="3" t="s">
        <v>106</v>
      </c>
      <c r="H26" s="3" t="s">
        <v>107</v>
      </c>
      <c r="I26" s="3">
        <v>3</v>
      </c>
      <c r="J26" s="3">
        <v>5</v>
      </c>
      <c r="L26" s="1" t="s">
        <v>108</v>
      </c>
      <c r="O26" t="str">
        <f ca="1">IFERROR(__xludf.DUMMYFUNCTION("""COMPUTED_VALUE"""),"Elephantopus")</f>
        <v>Elephantopus</v>
      </c>
      <c r="P26" t="str">
        <f ca="1">IFERROR(__xludf.DUMMYFUNCTION("""COMPUTED_VALUE"""),"Cyperus spp.")</f>
        <v>Cyperus spp.</v>
      </c>
      <c r="Q26" t="str">
        <f ca="1">IFERROR(__xludf.DUMMYFUNCTION("""COMPUTED_VALUE"""),"Earleaf Greenbriar")</f>
        <v>Earleaf Greenbriar</v>
      </c>
    </row>
    <row r="27" spans="1:17">
      <c r="A27" s="3">
        <v>1</v>
      </c>
      <c r="B27" s="4">
        <v>43434</v>
      </c>
      <c r="C27" s="3" t="s">
        <v>92</v>
      </c>
      <c r="D27" s="3">
        <v>4</v>
      </c>
      <c r="E27" s="3" t="s">
        <v>109</v>
      </c>
      <c r="F27" s="3" t="s">
        <v>110</v>
      </c>
      <c r="G27" s="3" t="s">
        <v>111</v>
      </c>
      <c r="H27" s="3" t="s">
        <v>112</v>
      </c>
      <c r="I27" s="3">
        <v>3</v>
      </c>
      <c r="J27" s="3">
        <v>5</v>
      </c>
      <c r="L27" s="3">
        <f ca="1">IFERROR(__xludf.DUMMYFUNCTION("COUNTUNIQUE(O24:O276)"),46)</f>
        <v>46</v>
      </c>
      <c r="O27" t="str">
        <f ca="1">IFERROR(__xludf.DUMMYFUNCTION("""COMPUTED_VALUE"""),"Eragrostis")</f>
        <v>Eragrostis</v>
      </c>
      <c r="P27" t="str">
        <f ca="1">IFERROR(__xludf.DUMMYFUNCTION("""COMPUTED_VALUE"""),"Desmodium tortuosum")</f>
        <v>Desmodium tortuosum</v>
      </c>
      <c r="Q27" t="str">
        <f ca="1">IFERROR(__xludf.DUMMYFUNCTION("""COMPUTED_VALUE"""),"Eastern Milkpea")</f>
        <v>Eastern Milkpea</v>
      </c>
    </row>
    <row r="28" spans="1:17">
      <c r="A28" s="3">
        <v>1</v>
      </c>
      <c r="B28" s="4">
        <v>43434</v>
      </c>
      <c r="C28" s="3" t="s">
        <v>92</v>
      </c>
      <c r="D28" s="3">
        <v>4</v>
      </c>
      <c r="E28" s="3" t="s">
        <v>113</v>
      </c>
      <c r="F28" s="3" t="s">
        <v>114</v>
      </c>
      <c r="G28" s="3" t="s">
        <v>115</v>
      </c>
      <c r="H28" s="3" t="s">
        <v>116</v>
      </c>
      <c r="I28" s="3">
        <v>3</v>
      </c>
      <c r="J28" s="3">
        <v>5</v>
      </c>
      <c r="O28" t="str">
        <f ca="1">IFERROR(__xludf.DUMMYFUNCTION("""COMPUTED_VALUE"""),"Erythrina")</f>
        <v>Erythrina</v>
      </c>
      <c r="P28" t="str">
        <f ca="1">IFERROR(__xludf.DUMMYFUNCTION("""COMPUTED_VALUE"""),"Dichanthelium spp.")</f>
        <v>Dichanthelium spp.</v>
      </c>
      <c r="Q28" t="str">
        <f ca="1">IFERROR(__xludf.DUMMYFUNCTION("""COMPUTED_VALUE"""),"Elliots's Love Grass")</f>
        <v>Elliots's Love Grass</v>
      </c>
    </row>
    <row r="29" spans="1:17">
      <c r="A29" s="3">
        <v>1</v>
      </c>
      <c r="B29" s="4">
        <v>43434</v>
      </c>
      <c r="C29" s="3" t="s">
        <v>92</v>
      </c>
      <c r="D29" s="3">
        <v>3</v>
      </c>
      <c r="E29" s="3" t="s">
        <v>55</v>
      </c>
      <c r="F29" s="3" t="s">
        <v>117</v>
      </c>
      <c r="G29" s="3" t="s">
        <v>118</v>
      </c>
      <c r="H29" s="3" t="s">
        <v>119</v>
      </c>
      <c r="I29" s="3">
        <v>3</v>
      </c>
      <c r="J29" s="3">
        <v>4</v>
      </c>
      <c r="L29" s="3">
        <f ca="1">IFERROR(__xludf.DUMMYFUNCTION("COUNTUNIQUE(P24:P276)"),75)</f>
        <v>75</v>
      </c>
      <c r="O29" t="str">
        <f ca="1">IFERROR(__xludf.DUMMYFUNCTION("""COMPUTED_VALUE"""),"Esclaria")</f>
        <v>Esclaria</v>
      </c>
      <c r="P29" t="str">
        <f ca="1">IFERROR(__xludf.DUMMYFUNCTION("""COMPUTED_VALUE"""),"Diodia gallium")</f>
        <v>Diodia gallium</v>
      </c>
      <c r="Q29" t="str">
        <f ca="1">IFERROR(__xludf.DUMMYFUNCTION("""COMPUTED_VALUE"""),"Elliott's Bluestem")</f>
        <v>Elliott's Bluestem</v>
      </c>
    </row>
    <row r="30" spans="1:17">
      <c r="A30" s="3">
        <v>1</v>
      </c>
      <c r="B30" s="4">
        <v>43434</v>
      </c>
      <c r="C30" s="3" t="s">
        <v>92</v>
      </c>
      <c r="D30" s="3">
        <v>4</v>
      </c>
      <c r="E30" s="3" t="s">
        <v>44</v>
      </c>
      <c r="F30" s="3" t="s">
        <v>120</v>
      </c>
      <c r="G30" s="3" t="s">
        <v>121</v>
      </c>
      <c r="H30" s="3" t="s">
        <v>122</v>
      </c>
      <c r="I30" s="3">
        <v>3</v>
      </c>
      <c r="J30" s="3">
        <v>3</v>
      </c>
      <c r="L30" s="1" t="s">
        <v>123</v>
      </c>
      <c r="O30" t="str">
        <f ca="1">IFERROR(__xludf.DUMMYFUNCTION("""COMPUTED_VALUE"""),"Eupatorium")</f>
        <v>Eupatorium</v>
      </c>
      <c r="P30" t="str">
        <f ca="1">IFERROR(__xludf.DUMMYFUNCTION("""COMPUTED_VALUE"""),"Diospyros virginiana")</f>
        <v>Diospyros virginiana</v>
      </c>
      <c r="Q30" t="str">
        <f ca="1">IFERROR(__xludf.DUMMYFUNCTION("""COMPUTED_VALUE"""),"Fiddler's Spurge")</f>
        <v>Fiddler's Spurge</v>
      </c>
    </row>
    <row r="31" spans="1:17">
      <c r="A31" s="3">
        <v>1</v>
      </c>
      <c r="B31" s="4">
        <v>43434</v>
      </c>
      <c r="C31" s="3" t="s">
        <v>92</v>
      </c>
      <c r="D31" s="3">
        <v>4</v>
      </c>
      <c r="E31" s="3" t="s">
        <v>124</v>
      </c>
      <c r="F31" s="3" t="s">
        <v>125</v>
      </c>
      <c r="G31" s="3" t="s">
        <v>126</v>
      </c>
      <c r="H31" s="3" t="s">
        <v>127</v>
      </c>
      <c r="I31" s="3">
        <v>3</v>
      </c>
      <c r="J31" s="3">
        <v>3</v>
      </c>
      <c r="O31" t="str">
        <f ca="1">IFERROR(__xludf.DUMMYFUNCTION("""COMPUTED_VALUE"""),"Euphorbia")</f>
        <v>Euphorbia</v>
      </c>
      <c r="P31" t="str">
        <f ca="1">IFERROR(__xludf.DUMMYFUNCTION("""COMPUTED_VALUE"""),"Dyschoriste oblongifolia")</f>
        <v>Dyschoriste oblongifolia</v>
      </c>
      <c r="Q31" t="str">
        <f ca="1">IFERROR(__xludf.DUMMYFUNCTION("""COMPUTED_VALUE"""),"Florida Betony")</f>
        <v>Florida Betony</v>
      </c>
    </row>
    <row r="32" spans="1:17">
      <c r="A32" s="3">
        <v>1</v>
      </c>
      <c r="B32" s="4">
        <v>43434</v>
      </c>
      <c r="C32" s="3" t="s">
        <v>92</v>
      </c>
      <c r="D32" s="3">
        <v>3</v>
      </c>
      <c r="E32" s="3" t="s">
        <v>63</v>
      </c>
      <c r="F32" s="3" t="s">
        <v>128</v>
      </c>
      <c r="G32" s="3" t="s">
        <v>129</v>
      </c>
      <c r="H32" s="3" t="s">
        <v>130</v>
      </c>
      <c r="I32" s="3">
        <v>3</v>
      </c>
      <c r="J32" s="3">
        <v>2</v>
      </c>
      <c r="L32" s="1" t="s">
        <v>131</v>
      </c>
      <c r="O32" t="str">
        <f ca="1">IFERROR(__xludf.DUMMYFUNCTION("""COMPUTED_VALUE"""),"Galactia")</f>
        <v>Galactia</v>
      </c>
      <c r="P32" t="str">
        <f ca="1">IFERROR(__xludf.DUMMYFUNCTION("""COMPUTED_VALUE"""),"Elephantopus elatus")</f>
        <v>Elephantopus elatus</v>
      </c>
      <c r="Q32" t="str">
        <f ca="1">IFERROR(__xludf.DUMMYFUNCTION("""COMPUTED_VALUE"""),"Foxtail")</f>
        <v>Foxtail</v>
      </c>
    </row>
    <row r="33" spans="1:17">
      <c r="A33" s="3">
        <v>1</v>
      </c>
      <c r="B33" s="4">
        <v>43434</v>
      </c>
      <c r="C33" s="3" t="s">
        <v>92</v>
      </c>
      <c r="D33" s="3">
        <v>3</v>
      </c>
      <c r="E33" s="3" t="s">
        <v>25</v>
      </c>
      <c r="F33" s="3" t="s">
        <v>132</v>
      </c>
      <c r="G33" s="3" t="s">
        <v>133</v>
      </c>
      <c r="H33" s="3" t="s">
        <v>134</v>
      </c>
      <c r="I33" s="3">
        <v>3</v>
      </c>
      <c r="J33" s="3">
        <v>2</v>
      </c>
      <c r="O33" t="str">
        <f ca="1">IFERROR(__xludf.DUMMYFUNCTION("""COMPUTED_VALUE"""),"Gelsemium")</f>
        <v>Gelsemium</v>
      </c>
      <c r="P33" t="str">
        <f ca="1">IFERROR(__xludf.DUMMYFUNCTION("""COMPUTED_VALUE"""),"Eragrostis elliottii")</f>
        <v>Eragrostis elliottii</v>
      </c>
      <c r="Q33" t="str">
        <f ca="1">IFERROR(__xludf.DUMMYFUNCTION("""COMPUTED_VALUE"""),"Goldenrod")</f>
        <v>Goldenrod</v>
      </c>
    </row>
    <row r="34" spans="1:17">
      <c r="A34" s="3">
        <v>1</v>
      </c>
      <c r="B34" s="4">
        <v>43434</v>
      </c>
      <c r="C34" s="3" t="s">
        <v>92</v>
      </c>
      <c r="D34" s="3">
        <v>4</v>
      </c>
      <c r="E34" s="3" t="s">
        <v>81</v>
      </c>
      <c r="F34" s="3" t="s">
        <v>82</v>
      </c>
      <c r="G34" s="3" t="s">
        <v>135</v>
      </c>
      <c r="H34" s="3" t="s">
        <v>136</v>
      </c>
      <c r="I34" s="3">
        <v>3</v>
      </c>
      <c r="J34" s="3">
        <v>2</v>
      </c>
      <c r="O34" t="str">
        <f ca="1">IFERROR(__xludf.DUMMYFUNCTION("""COMPUTED_VALUE"""),"Geranium")</f>
        <v>Geranium</v>
      </c>
      <c r="P34" t="str">
        <f ca="1">IFERROR(__xludf.DUMMYFUNCTION("""COMPUTED_VALUE"""),"Erythrina herbacea")</f>
        <v>Erythrina herbacea</v>
      </c>
      <c r="Q34" t="str">
        <f ca="1">IFERROR(__xludf.DUMMYFUNCTION("""COMPUTED_VALUE"""),"Guineagrass ")</f>
        <v xml:space="preserve">Guineagrass </v>
      </c>
    </row>
    <row r="35" spans="1:17">
      <c r="A35" s="3">
        <v>1</v>
      </c>
      <c r="B35" s="4">
        <v>43434</v>
      </c>
      <c r="C35" s="3" t="s">
        <v>92</v>
      </c>
      <c r="D35" s="3">
        <v>4</v>
      </c>
      <c r="E35" s="3" t="s">
        <v>21</v>
      </c>
      <c r="F35" s="3" t="s">
        <v>22</v>
      </c>
      <c r="G35" s="3" t="s">
        <v>23</v>
      </c>
      <c r="H35" s="3" t="s">
        <v>24</v>
      </c>
      <c r="I35" s="3">
        <v>2</v>
      </c>
      <c r="J35" s="3">
        <v>5</v>
      </c>
      <c r="O35" t="str">
        <f ca="1">IFERROR(__xludf.DUMMYFUNCTION("""COMPUTED_VALUE"""),"Hieracium")</f>
        <v>Hieracium</v>
      </c>
      <c r="P35" t="str">
        <f ca="1">IFERROR(__xludf.DUMMYFUNCTION("""COMPUTED_VALUE"""),"Esclaria spp.")</f>
        <v>Esclaria spp.</v>
      </c>
      <c r="Q35" t="str">
        <f ca="1">IFERROR(__xludf.DUMMYFUNCTION("""COMPUTED_VALUE"""),"Hair Sedge")</f>
        <v>Hair Sedge</v>
      </c>
    </row>
    <row r="36" spans="1:17">
      <c r="A36" s="3">
        <v>1</v>
      </c>
      <c r="B36" s="4">
        <v>43434</v>
      </c>
      <c r="C36" s="3" t="s">
        <v>92</v>
      </c>
      <c r="D36" s="3">
        <v>4</v>
      </c>
      <c r="E36" s="3" t="s">
        <v>55</v>
      </c>
      <c r="F36" s="3" t="s">
        <v>137</v>
      </c>
      <c r="G36" s="3" t="s">
        <v>138</v>
      </c>
      <c r="H36" s="3" t="s">
        <v>139</v>
      </c>
      <c r="I36" s="3">
        <v>2</v>
      </c>
      <c r="J36" s="3">
        <v>4</v>
      </c>
      <c r="O36" t="str">
        <f ca="1">IFERROR(__xludf.DUMMYFUNCTION("""COMPUTED_VALUE"""),"Houstonia ")</f>
        <v xml:space="preserve">Houstonia </v>
      </c>
      <c r="P36" t="str">
        <f ca="1">IFERROR(__xludf.DUMMYFUNCTION("""COMPUTED_VALUE"""),"Eupatorium capillifolium")</f>
        <v>Eupatorium capillifolium</v>
      </c>
      <c r="Q36" t="str">
        <f ca="1">IFERROR(__xludf.DUMMYFUNCTION("""COMPUTED_VALUE"""),"Hairy Indigo")</f>
        <v>Hairy Indigo</v>
      </c>
    </row>
    <row r="37" spans="1:17">
      <c r="A37" s="3">
        <v>1</v>
      </c>
      <c r="B37" s="4">
        <v>43434</v>
      </c>
      <c r="C37" s="3" t="s">
        <v>92</v>
      </c>
      <c r="D37" s="3">
        <v>3</v>
      </c>
      <c r="E37" s="3" t="s">
        <v>55</v>
      </c>
      <c r="F37" s="3" t="s">
        <v>140</v>
      </c>
      <c r="G37" s="3" t="s">
        <v>141</v>
      </c>
      <c r="H37" s="3" t="s">
        <v>142</v>
      </c>
      <c r="I37" s="3">
        <v>2</v>
      </c>
      <c r="J37" s="3">
        <v>4</v>
      </c>
      <c r="O37" t="str">
        <f ca="1">IFERROR(__xludf.DUMMYFUNCTION("""COMPUTED_VALUE"""),"Indigofera")</f>
        <v>Indigofera</v>
      </c>
      <c r="P37" t="str">
        <f ca="1">IFERROR(__xludf.DUMMYFUNCTION("""COMPUTED_VALUE"""),"Euphorbia heterophylla")</f>
        <v>Euphorbia heterophylla</v>
      </c>
      <c r="Q37" t="str">
        <f ca="1">IFERROR(__xludf.DUMMYFUNCTION("""COMPUTED_VALUE"""),"Hammock Snakeroot")</f>
        <v>Hammock Snakeroot</v>
      </c>
    </row>
    <row r="38" spans="1:17">
      <c r="A38" s="3">
        <v>1</v>
      </c>
      <c r="B38" s="4">
        <v>43434</v>
      </c>
      <c r="C38" s="3" t="s">
        <v>92</v>
      </c>
      <c r="D38" s="3">
        <v>4</v>
      </c>
      <c r="E38" s="3" t="s">
        <v>25</v>
      </c>
      <c r="F38" s="3" t="s">
        <v>33</v>
      </c>
      <c r="G38" s="3" t="s">
        <v>34</v>
      </c>
      <c r="H38" s="3" t="s">
        <v>35</v>
      </c>
      <c r="I38" s="3">
        <v>2</v>
      </c>
      <c r="J38" s="3">
        <v>3</v>
      </c>
      <c r="O38" t="str">
        <f ca="1">IFERROR(__xludf.DUMMYFUNCTION("""COMPUTED_VALUE"""),"Ipomoea")</f>
        <v>Ipomoea</v>
      </c>
      <c r="P38" t="str">
        <f ca="1">IFERROR(__xludf.DUMMYFUNCTION("""COMPUTED_VALUE"""),"Galactia regularis")</f>
        <v>Galactia regularis</v>
      </c>
      <c r="Q38" t="str">
        <f ca="1">IFERROR(__xludf.DUMMYFUNCTION("""COMPUTED_VALUE"""),"Hog Peanut")</f>
        <v>Hog Peanut</v>
      </c>
    </row>
    <row r="39" spans="1:17">
      <c r="A39" s="3">
        <v>1</v>
      </c>
      <c r="B39" s="4">
        <v>43434</v>
      </c>
      <c r="C39" s="3" t="s">
        <v>92</v>
      </c>
      <c r="D39" s="3">
        <v>2</v>
      </c>
      <c r="E39" s="3" t="s">
        <v>55</v>
      </c>
      <c r="F39" s="3" t="s">
        <v>143</v>
      </c>
      <c r="G39" s="3" t="s">
        <v>144</v>
      </c>
      <c r="H39" s="3" t="s">
        <v>143</v>
      </c>
      <c r="I39" s="3">
        <v>2</v>
      </c>
      <c r="J39" s="3">
        <v>3</v>
      </c>
      <c r="O39" t="str">
        <f ca="1">IFERROR(__xludf.DUMMYFUNCTION("""COMPUTED_VALUE"""),"Latuca")</f>
        <v>Latuca</v>
      </c>
      <c r="P39" t="str">
        <f ca="1">IFERROR(__xludf.DUMMYFUNCTION("""COMPUTED_VALUE"""),"Galactia spp.")</f>
        <v>Galactia spp.</v>
      </c>
      <c r="Q39" t="str">
        <f ca="1">IFERROR(__xludf.DUMMYFUNCTION("""COMPUTED_VALUE"""),"Innonence")</f>
        <v>Innonence</v>
      </c>
    </row>
    <row r="40" spans="1:17">
      <c r="A40" s="3">
        <v>1</v>
      </c>
      <c r="B40" s="4">
        <v>43434</v>
      </c>
      <c r="C40" s="3" t="s">
        <v>92</v>
      </c>
      <c r="D40" s="3">
        <v>3</v>
      </c>
      <c r="E40" s="3" t="s">
        <v>145</v>
      </c>
      <c r="F40" s="3" t="s">
        <v>146</v>
      </c>
      <c r="G40" s="3" t="s">
        <v>147</v>
      </c>
      <c r="H40" s="3" t="s">
        <v>148</v>
      </c>
      <c r="I40" s="3">
        <v>2</v>
      </c>
      <c r="J40" s="3">
        <v>1</v>
      </c>
      <c r="O40" t="str">
        <f ca="1">IFERROR(__xludf.DUMMYFUNCTION("""COMPUTED_VALUE"""),"Liquidambar")</f>
        <v>Liquidambar</v>
      </c>
      <c r="P40" t="str">
        <f ca="1">IFERROR(__xludf.DUMMYFUNCTION("""COMPUTED_VALUE"""),"Gelsemium sempervirens")</f>
        <v>Gelsemium sempervirens</v>
      </c>
      <c r="Q40" t="str">
        <f ca="1">IFERROR(__xludf.DUMMYFUNCTION("""COMPUTED_VALUE"""),"Lanceleaf Rattlebox ")</f>
        <v xml:space="preserve">Lanceleaf Rattlebox </v>
      </c>
    </row>
    <row r="41" spans="1:17">
      <c r="A41" s="3">
        <v>1</v>
      </c>
      <c r="B41" s="4">
        <v>43434</v>
      </c>
      <c r="C41" s="3" t="s">
        <v>92</v>
      </c>
      <c r="D41" s="3">
        <v>2</v>
      </c>
      <c r="E41" s="3" t="s">
        <v>84</v>
      </c>
      <c r="F41" s="3" t="s">
        <v>85</v>
      </c>
      <c r="G41" s="3" t="s">
        <v>86</v>
      </c>
      <c r="H41" s="3" t="s">
        <v>87</v>
      </c>
      <c r="I41" s="3">
        <v>2</v>
      </c>
      <c r="J41" s="3">
        <v>1</v>
      </c>
      <c r="O41" t="str">
        <f ca="1">IFERROR(__xludf.DUMMYFUNCTION("""COMPUTED_VALUE"""),"Megathyrsus ")</f>
        <v xml:space="preserve">Megathyrsus </v>
      </c>
      <c r="P41" t="str">
        <f ca="1">IFERROR(__xludf.DUMMYFUNCTION("""COMPUTED_VALUE"""),"Geranium carolinianum")</f>
        <v>Geranium carolinianum</v>
      </c>
      <c r="Q41" t="str">
        <f ca="1">IFERROR(__xludf.DUMMYFUNCTION("""COMPUTED_VALUE"""),"Laurel Cherry")</f>
        <v>Laurel Cherry</v>
      </c>
    </row>
    <row r="42" spans="1:17">
      <c r="A42" s="3">
        <v>1</v>
      </c>
      <c r="B42" s="4">
        <v>43434</v>
      </c>
      <c r="C42" s="3" t="s">
        <v>92</v>
      </c>
      <c r="D42" s="3">
        <v>4</v>
      </c>
      <c r="E42" s="3" t="s">
        <v>149</v>
      </c>
      <c r="F42" s="3" t="s">
        <v>150</v>
      </c>
      <c r="G42" s="3" t="s">
        <v>151</v>
      </c>
      <c r="H42" s="3" t="s">
        <v>152</v>
      </c>
      <c r="I42" s="3">
        <v>2</v>
      </c>
      <c r="J42" s="3">
        <v>1</v>
      </c>
      <c r="O42" t="str">
        <f ca="1">IFERROR(__xludf.DUMMYFUNCTION("""COMPUTED_VALUE"""),"Oplismenus")</f>
        <v>Oplismenus</v>
      </c>
      <c r="P42" t="str">
        <f ca="1">IFERROR(__xludf.DUMMYFUNCTION("""COMPUTED_VALUE"""),"Hieracium megacephalon")</f>
        <v>Hieracium megacephalon</v>
      </c>
      <c r="Q42" t="str">
        <f ca="1">IFERROR(__xludf.DUMMYFUNCTION("""COMPUTED_VALUE"""),"Laurel Greenbrier")</f>
        <v>Laurel Greenbrier</v>
      </c>
    </row>
    <row r="43" spans="1:17">
      <c r="A43" s="3">
        <v>1</v>
      </c>
      <c r="B43" s="4">
        <v>43434</v>
      </c>
      <c r="C43" s="3" t="s">
        <v>92</v>
      </c>
      <c r="D43" s="3">
        <v>3</v>
      </c>
      <c r="E43" s="3" t="s">
        <v>153</v>
      </c>
      <c r="F43" s="3" t="s">
        <v>154</v>
      </c>
      <c r="G43" s="3" t="s">
        <v>155</v>
      </c>
      <c r="H43" s="3" t="s">
        <v>156</v>
      </c>
      <c r="I43" s="3">
        <v>2</v>
      </c>
      <c r="J43" s="3">
        <v>1</v>
      </c>
      <c r="O43" t="str">
        <f ca="1">IFERROR(__xludf.DUMMYFUNCTION("""COMPUTED_VALUE"""),"Oxalis")</f>
        <v>Oxalis</v>
      </c>
      <c r="P43" t="str">
        <f ca="1">IFERROR(__xludf.DUMMYFUNCTION("""COMPUTED_VALUE"""),"Houstonia procumbens")</f>
        <v>Houstonia procumbens</v>
      </c>
      <c r="Q43" t="str">
        <f ca="1">IFERROR(__xludf.DUMMYFUNCTION("""COMPUTED_VALUE"""),"Live Oak")</f>
        <v>Live Oak</v>
      </c>
    </row>
    <row r="44" spans="1:17">
      <c r="A44" s="3">
        <v>1</v>
      </c>
      <c r="B44" s="4">
        <v>43434</v>
      </c>
      <c r="C44" s="3" t="s">
        <v>92</v>
      </c>
      <c r="D44" s="3">
        <v>3</v>
      </c>
      <c r="E44" s="3" t="s">
        <v>84</v>
      </c>
      <c r="F44" s="3" t="s">
        <v>157</v>
      </c>
      <c r="G44" s="3" t="s">
        <v>158</v>
      </c>
      <c r="H44" s="3" t="s">
        <v>159</v>
      </c>
      <c r="I44" s="3">
        <v>2</v>
      </c>
      <c r="J44" s="3">
        <v>1</v>
      </c>
      <c r="O44" t="str">
        <f ca="1">IFERROR(__xludf.DUMMYFUNCTION("""COMPUTED_VALUE"""),"Parthenocissus ")</f>
        <v xml:space="preserve">Parthenocissus </v>
      </c>
      <c r="P44" t="str">
        <f ca="1">IFERROR(__xludf.DUMMYFUNCTION("""COMPUTED_VALUE"""),"Indigofera hirsuta")</f>
        <v>Indigofera hirsuta</v>
      </c>
      <c r="Q44" t="str">
        <f ca="1">IFERROR(__xludf.DUMMYFUNCTION("""COMPUTED_VALUE"""),"Loblolly Pine")</f>
        <v>Loblolly Pine</v>
      </c>
    </row>
    <row r="45" spans="1:17">
      <c r="A45" s="3">
        <v>1</v>
      </c>
      <c r="B45" s="4">
        <v>43434</v>
      </c>
      <c r="C45" s="3" t="s">
        <v>92</v>
      </c>
      <c r="D45" s="3">
        <v>4</v>
      </c>
      <c r="E45" s="3" t="s">
        <v>160</v>
      </c>
      <c r="F45" s="3" t="s">
        <v>161</v>
      </c>
      <c r="G45" s="3" t="s">
        <v>162</v>
      </c>
      <c r="H45" s="3" t="s">
        <v>163</v>
      </c>
      <c r="I45" s="3">
        <v>1</v>
      </c>
      <c r="J45" s="3">
        <v>6</v>
      </c>
      <c r="O45" t="str">
        <f ca="1">IFERROR(__xludf.DUMMYFUNCTION("""COMPUTED_VALUE"""),"Paspalum")</f>
        <v>Paspalum</v>
      </c>
      <c r="P45" t="str">
        <f ca="1">IFERROR(__xludf.DUMMYFUNCTION("""COMPUTED_VALUE"""),"Ipomoea quamoclit")</f>
        <v>Ipomoea quamoclit</v>
      </c>
      <c r="Q45" t="str">
        <f ca="1">IFERROR(__xludf.DUMMYFUNCTION("""COMPUTED_VALUE"""),"Longleaf")</f>
        <v>Longleaf</v>
      </c>
    </row>
    <row r="46" spans="1:17">
      <c r="A46" s="3">
        <v>1</v>
      </c>
      <c r="B46" s="4">
        <v>43434</v>
      </c>
      <c r="C46" s="3" t="s">
        <v>92</v>
      </c>
      <c r="D46" s="3">
        <v>4</v>
      </c>
      <c r="E46" s="3" t="s">
        <v>21</v>
      </c>
      <c r="F46" s="3" t="s">
        <v>72</v>
      </c>
      <c r="G46" s="3" t="s">
        <v>73</v>
      </c>
      <c r="H46" s="3" t="s">
        <v>74</v>
      </c>
      <c r="I46" s="3">
        <v>1</v>
      </c>
      <c r="J46" s="3">
        <v>4</v>
      </c>
      <c r="O46" t="str">
        <f ca="1">IFERROR(__xludf.DUMMYFUNCTION("""COMPUTED_VALUE"""),"Passiflora")</f>
        <v>Passiflora</v>
      </c>
      <c r="P46" t="str">
        <f ca="1">IFERROR(__xludf.DUMMYFUNCTION("""COMPUTED_VALUE"""),"Ipomoea spp.")</f>
        <v>Ipomoea spp.</v>
      </c>
      <c r="Q46" t="str">
        <f ca="1">IFERROR(__xludf.DUMMYFUNCTION("""COMPUTED_VALUE"""),"Mockernut")</f>
        <v>Mockernut</v>
      </c>
    </row>
    <row r="47" spans="1:17">
      <c r="A47" s="3">
        <v>1</v>
      </c>
      <c r="B47" s="4">
        <v>43434</v>
      </c>
      <c r="C47" s="3" t="s">
        <v>92</v>
      </c>
      <c r="D47" s="3">
        <v>4</v>
      </c>
      <c r="E47" s="3" t="s">
        <v>55</v>
      </c>
      <c r="F47" s="3" t="s">
        <v>164</v>
      </c>
      <c r="G47" s="3" t="s">
        <v>165</v>
      </c>
      <c r="H47" s="3" t="s">
        <v>166</v>
      </c>
      <c r="I47" s="3">
        <v>1</v>
      </c>
      <c r="J47" s="3">
        <v>3</v>
      </c>
      <c r="O47" t="str">
        <f ca="1">IFERROR(__xludf.DUMMYFUNCTION("""COMPUTED_VALUE"""),"Persea")</f>
        <v>Persea</v>
      </c>
      <c r="P47" t="str">
        <f ca="1">IFERROR(__xludf.DUMMYFUNCTION("""COMPUTED_VALUE"""),"Latuca spp.")</f>
        <v>Latuca spp.</v>
      </c>
      <c r="Q47" t="str">
        <f ca="1">IFERROR(__xludf.DUMMYFUNCTION("""COMPUTED_VALUE"""),"Morning Glory")</f>
        <v>Morning Glory</v>
      </c>
    </row>
    <row r="48" spans="1:17">
      <c r="A48" s="3">
        <v>1</v>
      </c>
      <c r="B48" s="4">
        <v>43434</v>
      </c>
      <c r="C48" s="3" t="s">
        <v>92</v>
      </c>
      <c r="D48" s="3">
        <v>4</v>
      </c>
      <c r="E48" s="3" t="s">
        <v>63</v>
      </c>
      <c r="F48" s="3" t="s">
        <v>167</v>
      </c>
      <c r="G48" s="3" t="s">
        <v>168</v>
      </c>
      <c r="H48" s="3" t="s">
        <v>169</v>
      </c>
      <c r="I48" s="3">
        <v>1</v>
      </c>
      <c r="J48" s="3">
        <v>3</v>
      </c>
      <c r="O48" t="str">
        <f ca="1">IFERROR(__xludf.DUMMYFUNCTION("""COMPUTED_VALUE"""),"Phyllanthus")</f>
        <v>Phyllanthus</v>
      </c>
      <c r="P48" t="str">
        <f ca="1">IFERROR(__xludf.DUMMYFUNCTION("""COMPUTED_VALUE"""),"Liquidambar styraciflua")</f>
        <v>Liquidambar styraciflua</v>
      </c>
      <c r="Q48" t="str">
        <f ca="1">IFERROR(__xludf.DUMMYFUNCTION("""COMPUTED_VALUE"""),"Muscadine")</f>
        <v>Muscadine</v>
      </c>
    </row>
    <row r="49" spans="1:17">
      <c r="A49" s="3">
        <v>1</v>
      </c>
      <c r="B49" s="4">
        <v>43434</v>
      </c>
      <c r="C49" s="3" t="s">
        <v>92</v>
      </c>
      <c r="D49" s="3">
        <v>4</v>
      </c>
      <c r="E49" s="3" t="s">
        <v>77</v>
      </c>
      <c r="F49" s="3" t="s">
        <v>78</v>
      </c>
      <c r="G49" s="3" t="s">
        <v>79</v>
      </c>
      <c r="H49" s="3" t="s">
        <v>80</v>
      </c>
      <c r="I49" s="3">
        <v>1</v>
      </c>
      <c r="J49" s="3">
        <v>3</v>
      </c>
      <c r="O49" t="str">
        <f ca="1">IFERROR(__xludf.DUMMYFUNCTION("""COMPUTED_VALUE"""),"Pinus")</f>
        <v>Pinus</v>
      </c>
      <c r="P49" t="str">
        <f ca="1">IFERROR(__xludf.DUMMYFUNCTION("""COMPUTED_VALUE"""),"Megathyrsus maximus")</f>
        <v>Megathyrsus maximus</v>
      </c>
      <c r="Q49" t="str">
        <f ca="1">IFERROR(__xludf.DUMMYFUNCTION("""COMPUTED_VALUE"""),"Nutrush")</f>
        <v>Nutrush</v>
      </c>
    </row>
    <row r="50" spans="1:17">
      <c r="A50" s="3">
        <v>1</v>
      </c>
      <c r="B50" s="4">
        <v>43434</v>
      </c>
      <c r="C50" s="3" t="s">
        <v>92</v>
      </c>
      <c r="D50" s="3">
        <v>4</v>
      </c>
      <c r="E50" s="3" t="s">
        <v>170</v>
      </c>
      <c r="F50" s="3" t="s">
        <v>171</v>
      </c>
      <c r="G50" s="3" t="s">
        <v>172</v>
      </c>
      <c r="H50" s="3" t="s">
        <v>173</v>
      </c>
      <c r="I50" s="3">
        <v>1</v>
      </c>
      <c r="J50" s="3">
        <v>2</v>
      </c>
      <c r="O50" t="str">
        <f ca="1">IFERROR(__xludf.DUMMYFUNCTION("""COMPUTED_VALUE"""),"Prunus")</f>
        <v>Prunus</v>
      </c>
      <c r="P50" t="str">
        <f ca="1">IFERROR(__xludf.DUMMYFUNCTION("""COMPUTED_VALUE"""),"Oplismenus spp.")</f>
        <v>Oplismenus spp.</v>
      </c>
      <c r="Q50" t="str">
        <f ca="1">IFERROR(__xludf.DUMMYFUNCTION("""COMPUTED_VALUE"""),"Nutsedge")</f>
        <v>Nutsedge</v>
      </c>
    </row>
    <row r="51" spans="1:17">
      <c r="A51" s="3">
        <v>1</v>
      </c>
      <c r="B51" s="4">
        <v>43434</v>
      </c>
      <c r="C51" s="3" t="s">
        <v>92</v>
      </c>
      <c r="D51" s="3">
        <v>4</v>
      </c>
      <c r="E51" s="3" t="s">
        <v>145</v>
      </c>
      <c r="F51" s="3" t="s">
        <v>174</v>
      </c>
      <c r="G51" s="3" t="s">
        <v>175</v>
      </c>
      <c r="H51" s="3" t="s">
        <v>176</v>
      </c>
      <c r="I51" s="3">
        <v>1</v>
      </c>
      <c r="J51" s="3">
        <v>1</v>
      </c>
      <c r="O51" t="str">
        <f ca="1">IFERROR(__xludf.DUMMYFUNCTION("""COMPUTED_VALUE"""),"Pteridium")</f>
        <v>Pteridium</v>
      </c>
      <c r="P51" t="str">
        <f ca="1">IFERROR(__xludf.DUMMYFUNCTION("""COMPUTED_VALUE"""),"Oxalis spp.")</f>
        <v>Oxalis spp.</v>
      </c>
      <c r="Q51" t="str">
        <f ca="1">IFERROR(__xludf.DUMMYFUNCTION("""COMPUTED_VALUE"""),"Panicgrass")</f>
        <v>Panicgrass</v>
      </c>
    </row>
    <row r="52" spans="1:17">
      <c r="A52" s="3">
        <v>1</v>
      </c>
      <c r="B52" s="4">
        <v>43434</v>
      </c>
      <c r="C52" s="3" t="s">
        <v>92</v>
      </c>
      <c r="D52" s="3">
        <v>3</v>
      </c>
      <c r="E52" s="3" t="s">
        <v>149</v>
      </c>
      <c r="F52" s="3" t="s">
        <v>177</v>
      </c>
      <c r="G52" s="3" t="s">
        <v>178</v>
      </c>
      <c r="H52" s="3" t="s">
        <v>177</v>
      </c>
      <c r="I52" s="3">
        <v>1</v>
      </c>
      <c r="J52" s="3">
        <v>1</v>
      </c>
      <c r="O52" t="str">
        <f ca="1">IFERROR(__xludf.DUMMYFUNCTION("""COMPUTED_VALUE"""),"Quercus")</f>
        <v>Quercus</v>
      </c>
      <c r="P52" t="str">
        <f ca="1">IFERROR(__xludf.DUMMYFUNCTION("""COMPUTED_VALUE"""),"Parthenocissus quinquefolia")</f>
        <v>Parthenocissus quinquefolia</v>
      </c>
      <c r="Q52" t="str">
        <f ca="1">IFERROR(__xludf.DUMMYFUNCTION("""COMPUTED_VALUE"""),"Partridge Pea")</f>
        <v>Partridge Pea</v>
      </c>
    </row>
    <row r="53" spans="1:17">
      <c r="A53" s="3">
        <v>1</v>
      </c>
      <c r="B53" s="4">
        <v>43434</v>
      </c>
      <c r="C53" s="3" t="s">
        <v>92</v>
      </c>
      <c r="D53" s="3">
        <v>3</v>
      </c>
      <c r="E53" s="3" t="s">
        <v>25</v>
      </c>
      <c r="F53" s="3" t="s">
        <v>179</v>
      </c>
      <c r="G53" s="3" t="s">
        <v>180</v>
      </c>
      <c r="H53" s="3" t="s">
        <v>181</v>
      </c>
      <c r="I53" s="3">
        <v>1</v>
      </c>
      <c r="J53" s="3">
        <v>1</v>
      </c>
      <c r="O53" t="str">
        <f ca="1">IFERROR(__xludf.DUMMYFUNCTION("""COMPUTED_VALUE"""),"Raphanus")</f>
        <v>Raphanus</v>
      </c>
      <c r="P53" t="str">
        <f ca="1">IFERROR(__xludf.DUMMYFUNCTION("""COMPUTED_VALUE"""),"Passiflora spp.")</f>
        <v>Passiflora spp.</v>
      </c>
      <c r="Q53" t="str">
        <f ca="1">IFERROR(__xludf.DUMMYFUNCTION("""COMPUTED_VALUE"""),"Paspalum notatum")</f>
        <v>Paspalum notatum</v>
      </c>
    </row>
    <row r="54" spans="1:17">
      <c r="A54" s="3">
        <v>1</v>
      </c>
      <c r="B54" s="4">
        <v>43434</v>
      </c>
      <c r="C54" s="3" t="s">
        <v>92</v>
      </c>
      <c r="D54" s="3">
        <v>4</v>
      </c>
      <c r="E54" s="3" t="s">
        <v>51</v>
      </c>
      <c r="F54" s="3" t="s">
        <v>52</v>
      </c>
      <c r="G54" s="3" t="s">
        <v>53</v>
      </c>
      <c r="H54" s="3" t="s">
        <v>54</v>
      </c>
      <c r="I54" s="3">
        <v>1</v>
      </c>
      <c r="J54" s="3">
        <v>1</v>
      </c>
      <c r="O54" t="str">
        <f ca="1">IFERROR(__xludf.DUMMYFUNCTION("""COMPUTED_VALUE"""),"Rhus")</f>
        <v>Rhus</v>
      </c>
      <c r="P54" t="str">
        <f ca="1">IFERROR(__xludf.DUMMYFUNCTION("""COMPUTED_VALUE"""),"Persea palustris")</f>
        <v>Persea palustris</v>
      </c>
      <c r="Q54" t="str">
        <f ca="1">IFERROR(__xludf.DUMMYFUNCTION("""COMPUTED_VALUE"""),"Passionflower")</f>
        <v>Passionflower</v>
      </c>
    </row>
    <row r="55" spans="1:17">
      <c r="A55" s="3">
        <v>1</v>
      </c>
      <c r="B55" s="4">
        <v>43434</v>
      </c>
      <c r="C55" s="3" t="s">
        <v>182</v>
      </c>
      <c r="D55" s="3">
        <v>4</v>
      </c>
      <c r="E55" s="3" t="s">
        <v>21</v>
      </c>
      <c r="F55" s="3" t="s">
        <v>22</v>
      </c>
      <c r="G55" s="3" t="s">
        <v>23</v>
      </c>
      <c r="H55" s="3" t="s">
        <v>24</v>
      </c>
      <c r="I55" s="3">
        <v>5</v>
      </c>
      <c r="J55" s="3">
        <v>5</v>
      </c>
      <c r="O55" t="str">
        <f ca="1">IFERROR(__xludf.DUMMYFUNCTION("""COMPUTED_VALUE"""),"Rhynchosia")</f>
        <v>Rhynchosia</v>
      </c>
      <c r="P55" t="str">
        <f ca="1">IFERROR(__xludf.DUMMYFUNCTION("""COMPUTED_VALUE"""),"Phyllanthus urinaria")</f>
        <v>Phyllanthus urinaria</v>
      </c>
      <c r="Q55" t="str">
        <f ca="1">IFERROR(__xludf.DUMMYFUNCTION("""COMPUTED_VALUE"""),"Persimmon")</f>
        <v>Persimmon</v>
      </c>
    </row>
    <row r="56" spans="1:17">
      <c r="A56" s="3">
        <v>1</v>
      </c>
      <c r="B56" s="4">
        <v>43434</v>
      </c>
      <c r="C56" s="3" t="s">
        <v>182</v>
      </c>
      <c r="D56" s="3">
        <v>4</v>
      </c>
      <c r="E56" s="3" t="s">
        <v>25</v>
      </c>
      <c r="F56" s="3" t="s">
        <v>33</v>
      </c>
      <c r="G56" s="3" t="s">
        <v>34</v>
      </c>
      <c r="H56" s="3" t="s">
        <v>35</v>
      </c>
      <c r="I56" s="3">
        <v>4</v>
      </c>
      <c r="J56" s="3">
        <v>6</v>
      </c>
      <c r="O56" t="str">
        <f ca="1">IFERROR(__xludf.DUMMYFUNCTION("""COMPUTED_VALUE"""),"Rhynchospora ")</f>
        <v xml:space="preserve">Rhynchospora </v>
      </c>
      <c r="P56" t="str">
        <f ca="1">IFERROR(__xludf.DUMMYFUNCTION("""COMPUTED_VALUE"""),"Pinus palustris")</f>
        <v>Pinus palustris</v>
      </c>
      <c r="Q56" t="str">
        <f ca="1">IFERROR(__xludf.DUMMYFUNCTION("""COMPUTED_VALUE"""),"Pignut Hickory")</f>
        <v>Pignut Hickory</v>
      </c>
    </row>
    <row r="57" spans="1:17">
      <c r="A57" s="3">
        <v>1</v>
      </c>
      <c r="B57" s="4">
        <v>43434</v>
      </c>
      <c r="C57" s="3" t="s">
        <v>182</v>
      </c>
      <c r="D57" s="3">
        <v>4</v>
      </c>
      <c r="E57" s="3" t="s">
        <v>25</v>
      </c>
      <c r="F57" s="3" t="s">
        <v>101</v>
      </c>
      <c r="G57" s="3" t="s">
        <v>102</v>
      </c>
      <c r="H57" s="3" t="s">
        <v>103</v>
      </c>
      <c r="I57" s="3">
        <v>3</v>
      </c>
      <c r="J57" s="3">
        <v>5</v>
      </c>
      <c r="O57" t="str">
        <f ca="1">IFERROR(__xludf.DUMMYFUNCTION("""COMPUTED_VALUE"""),"Rubus")</f>
        <v>Rubus</v>
      </c>
      <c r="P57" t="str">
        <f ca="1">IFERROR(__xludf.DUMMYFUNCTION("""COMPUTED_VALUE"""),"Pinus taeda")</f>
        <v>Pinus taeda</v>
      </c>
      <c r="Q57" t="str">
        <f ca="1">IFERROR(__xludf.DUMMYFUNCTION("""COMPUTED_VALUE"""),"Ragweed")</f>
        <v>Ragweed</v>
      </c>
    </row>
    <row r="58" spans="1:17">
      <c r="A58" s="3">
        <v>1</v>
      </c>
      <c r="B58" s="4">
        <v>43434</v>
      </c>
      <c r="C58" s="3" t="s">
        <v>182</v>
      </c>
      <c r="D58" s="3">
        <v>3</v>
      </c>
      <c r="E58" s="3" t="s">
        <v>55</v>
      </c>
      <c r="F58" s="3" t="s">
        <v>140</v>
      </c>
      <c r="G58" s="3" t="s">
        <v>141</v>
      </c>
      <c r="H58" s="3" t="s">
        <v>142</v>
      </c>
      <c r="I58" s="3">
        <v>3</v>
      </c>
      <c r="J58" s="3">
        <v>5</v>
      </c>
      <c r="O58" t="str">
        <f ca="1">IFERROR(__xludf.DUMMYFUNCTION("""COMPUTED_VALUE"""),"Sabal")</f>
        <v>Sabal</v>
      </c>
      <c r="P58" t="str">
        <f ca="1">IFERROR(__xludf.DUMMYFUNCTION("""COMPUTED_VALUE"""),"Prunus caroliniana")</f>
        <v>Prunus caroliniana</v>
      </c>
      <c r="Q58" t="str">
        <f ca="1">IFERROR(__xludf.DUMMYFUNCTION("""COMPUTED_VALUE"""),"Rattlebox")</f>
        <v>Rattlebox</v>
      </c>
    </row>
    <row r="59" spans="1:17">
      <c r="A59" s="3">
        <v>1</v>
      </c>
      <c r="B59" s="4">
        <v>43434</v>
      </c>
      <c r="C59" s="3" t="s">
        <v>182</v>
      </c>
      <c r="D59" s="3">
        <v>3</v>
      </c>
      <c r="E59" s="3" t="s">
        <v>81</v>
      </c>
      <c r="F59" s="3" t="s">
        <v>82</v>
      </c>
      <c r="G59" s="3" t="s">
        <v>83</v>
      </c>
      <c r="H59" s="3" t="s">
        <v>82</v>
      </c>
      <c r="I59" s="3">
        <v>3</v>
      </c>
      <c r="J59" s="3">
        <v>5</v>
      </c>
      <c r="O59" t="str">
        <f ca="1">IFERROR(__xludf.DUMMYFUNCTION("""COMPUTED_VALUE"""),"Serenoa")</f>
        <v>Serenoa</v>
      </c>
      <c r="P59" t="str">
        <f ca="1">IFERROR(__xludf.DUMMYFUNCTION("""COMPUTED_VALUE"""),"Prunus serotina")</f>
        <v>Prunus serotina</v>
      </c>
      <c r="Q59" t="str">
        <f ca="1">IFERROR(__xludf.DUMMYFUNCTION("""COMPUTED_VALUE"""),"Rhynchosia")</f>
        <v>Rhynchosia</v>
      </c>
    </row>
    <row r="60" spans="1:17">
      <c r="A60" s="3">
        <v>1</v>
      </c>
      <c r="B60" s="4">
        <v>43434</v>
      </c>
      <c r="C60" s="3" t="s">
        <v>182</v>
      </c>
      <c r="D60" s="3">
        <v>2</v>
      </c>
      <c r="E60" s="3" t="s">
        <v>25</v>
      </c>
      <c r="F60" s="3" t="s">
        <v>26</v>
      </c>
      <c r="G60" s="3" t="s">
        <v>27</v>
      </c>
      <c r="H60" s="3" t="s">
        <v>28</v>
      </c>
      <c r="I60" s="3">
        <v>3</v>
      </c>
      <c r="J60" s="3">
        <v>5</v>
      </c>
      <c r="O60" t="str">
        <f ca="1">IFERROR(__xludf.DUMMYFUNCTION("""COMPUTED_VALUE"""),"Setaria")</f>
        <v>Setaria</v>
      </c>
      <c r="P60" t="str">
        <f ca="1">IFERROR(__xludf.DUMMYFUNCTION("""COMPUTED_VALUE"""),"Prunus virginiana")</f>
        <v>Prunus virginiana</v>
      </c>
      <c r="Q60" t="str">
        <f ca="1">IFERROR(__xludf.DUMMYFUNCTION("""COMPUTED_VALUE"""),"Rosette Grass")</f>
        <v>Rosette Grass</v>
      </c>
    </row>
    <row r="61" spans="1:17">
      <c r="A61" s="3">
        <v>1</v>
      </c>
      <c r="B61" s="4">
        <v>43434</v>
      </c>
      <c r="C61" s="3" t="s">
        <v>182</v>
      </c>
      <c r="D61" s="3">
        <v>4</v>
      </c>
      <c r="E61" s="3" t="s">
        <v>40</v>
      </c>
      <c r="F61" s="3" t="s">
        <v>41</v>
      </c>
      <c r="G61" s="3" t="s">
        <v>42</v>
      </c>
      <c r="H61" s="3" t="s">
        <v>43</v>
      </c>
      <c r="I61" s="3">
        <v>3</v>
      </c>
      <c r="J61" s="3">
        <v>5</v>
      </c>
      <c r="O61" t="str">
        <f ca="1">IFERROR(__xludf.DUMMYFUNCTION("""COMPUTED_VALUE"""),"Smilax")</f>
        <v>Smilax</v>
      </c>
      <c r="P61" t="str">
        <f ca="1">IFERROR(__xludf.DUMMYFUNCTION("""COMPUTED_VALUE"""),"Pteridium aquilinum")</f>
        <v>Pteridium aquilinum</v>
      </c>
      <c r="Q61" t="str">
        <f ca="1">IFERROR(__xludf.DUMMYFUNCTION("""COMPUTED_VALUE"""),"Sand Blackberry")</f>
        <v>Sand Blackberry</v>
      </c>
    </row>
    <row r="62" spans="1:17">
      <c r="A62" s="3">
        <v>1</v>
      </c>
      <c r="B62" s="4">
        <v>43434</v>
      </c>
      <c r="C62" s="3" t="s">
        <v>182</v>
      </c>
      <c r="D62" s="3">
        <v>4</v>
      </c>
      <c r="E62" s="3" t="s">
        <v>51</v>
      </c>
      <c r="F62" s="3" t="s">
        <v>52</v>
      </c>
      <c r="G62" s="3" t="s">
        <v>53</v>
      </c>
      <c r="H62" s="3" t="s">
        <v>54</v>
      </c>
      <c r="I62" s="3">
        <v>3</v>
      </c>
      <c r="J62" s="3">
        <v>4</v>
      </c>
      <c r="O62" t="str">
        <f ca="1">IFERROR(__xludf.DUMMYFUNCTION("""COMPUTED_VALUE"""),"Soladago")</f>
        <v>Soladago</v>
      </c>
      <c r="P62" t="str">
        <f ca="1">IFERROR(__xludf.DUMMYFUNCTION("""COMPUTED_VALUE"""),"Quercus falcata")</f>
        <v>Quercus falcata</v>
      </c>
      <c r="Q62" t="str">
        <f ca="1">IFERROR(__xludf.DUMMYFUNCTION("""COMPUTED_VALUE"""),"Sand Laurel Oak")</f>
        <v>Sand Laurel Oak</v>
      </c>
    </row>
    <row r="63" spans="1:17">
      <c r="A63" s="3">
        <v>1</v>
      </c>
      <c r="B63" s="4">
        <v>43434</v>
      </c>
      <c r="C63" s="3" t="s">
        <v>182</v>
      </c>
      <c r="D63" s="3">
        <v>3</v>
      </c>
      <c r="E63" s="3" t="s">
        <v>25</v>
      </c>
      <c r="F63" s="3" t="s">
        <v>132</v>
      </c>
      <c r="G63" s="3" t="s">
        <v>133</v>
      </c>
      <c r="H63" s="3" t="s">
        <v>134</v>
      </c>
      <c r="I63" s="3">
        <v>3</v>
      </c>
      <c r="J63" s="3">
        <v>3</v>
      </c>
      <c r="O63" t="str">
        <f ca="1">IFERROR(__xludf.DUMMYFUNCTION("""COMPUTED_VALUE"""),"Solanum")</f>
        <v>Solanum</v>
      </c>
      <c r="P63" t="str">
        <f ca="1">IFERROR(__xludf.DUMMYFUNCTION("""COMPUTED_VALUE"""),"Quercus hemisphaerica")</f>
        <v>Quercus hemisphaerica</v>
      </c>
      <c r="Q63" t="str">
        <f ca="1">IFERROR(__xludf.DUMMYFUNCTION("""COMPUTED_VALUE"""),"Saw Palmetto")</f>
        <v>Saw Palmetto</v>
      </c>
    </row>
    <row r="64" spans="1:17">
      <c r="A64" s="3">
        <v>1</v>
      </c>
      <c r="B64" s="4">
        <v>43434</v>
      </c>
      <c r="C64" s="3" t="s">
        <v>182</v>
      </c>
      <c r="D64" s="3">
        <v>4</v>
      </c>
      <c r="E64" s="3" t="s">
        <v>59</v>
      </c>
      <c r="F64" s="3" t="s">
        <v>60</v>
      </c>
      <c r="G64" s="3" t="s">
        <v>61</v>
      </c>
      <c r="H64" s="3" t="s">
        <v>62</v>
      </c>
      <c r="I64" s="3">
        <v>3</v>
      </c>
      <c r="J64" s="3">
        <v>3</v>
      </c>
      <c r="O64" t="str">
        <f ca="1">IFERROR(__xludf.DUMMYFUNCTION("""COMPUTED_VALUE"""),"Sonchus")</f>
        <v>Sonchus</v>
      </c>
      <c r="P64" t="str">
        <f ca="1">IFERROR(__xludf.DUMMYFUNCTION("""COMPUTED_VALUE"""),"Quercus michauxii")</f>
        <v>Quercus michauxii</v>
      </c>
      <c r="Q64" t="str">
        <f ca="1">IFERROR(__xludf.DUMMYFUNCTION("""COMPUTED_VALUE"""),"Sedge")</f>
        <v>Sedge</v>
      </c>
    </row>
    <row r="65" spans="1:17">
      <c r="A65" s="3">
        <v>1</v>
      </c>
      <c r="B65" s="4">
        <v>43434</v>
      </c>
      <c r="C65" s="3" t="s">
        <v>182</v>
      </c>
      <c r="D65" s="3">
        <v>2</v>
      </c>
      <c r="E65" s="3" t="s">
        <v>84</v>
      </c>
      <c r="F65" s="3" t="s">
        <v>85</v>
      </c>
      <c r="G65" s="3" t="s">
        <v>86</v>
      </c>
      <c r="H65" s="3" t="s">
        <v>87</v>
      </c>
      <c r="I65" s="3">
        <v>3</v>
      </c>
      <c r="J65" s="3">
        <v>2</v>
      </c>
      <c r="O65" t="str">
        <f ca="1">IFERROR(__xludf.DUMMYFUNCTION("""COMPUTED_VALUE"""),"Sorghastrum")</f>
        <v>Sorghastrum</v>
      </c>
      <c r="P65" t="str">
        <f ca="1">IFERROR(__xludf.DUMMYFUNCTION("""COMPUTED_VALUE"""),"Quercus virginanna")</f>
        <v>Quercus virginanna</v>
      </c>
      <c r="Q65" t="str">
        <f ca="1">IFERROR(__xludf.DUMMYFUNCTION("""COMPUTED_VALUE"""),"Slender Threeseed Mercury")</f>
        <v>Slender Threeseed Mercury</v>
      </c>
    </row>
    <row r="66" spans="1:17">
      <c r="A66" s="3">
        <v>1</v>
      </c>
      <c r="B66" s="4">
        <v>43434</v>
      </c>
      <c r="C66" s="3" t="s">
        <v>182</v>
      </c>
      <c r="D66" s="3">
        <v>4</v>
      </c>
      <c r="E66" s="3" t="s">
        <v>55</v>
      </c>
      <c r="F66" s="3" t="s">
        <v>56</v>
      </c>
      <c r="G66" s="3" t="s">
        <v>57</v>
      </c>
      <c r="H66" s="3" t="s">
        <v>58</v>
      </c>
      <c r="I66" s="3">
        <v>2</v>
      </c>
      <c r="J66" s="3">
        <v>4</v>
      </c>
      <c r="O66" t="str">
        <f ca="1">IFERROR(__xludf.DUMMYFUNCTION("""COMPUTED_VALUE"""),"Stachys")</f>
        <v>Stachys</v>
      </c>
      <c r="P66" t="str">
        <f ca="1">IFERROR(__xludf.DUMMYFUNCTION("""COMPUTED_VALUE"""),"Raphanus spp.")</f>
        <v>Raphanus spp.</v>
      </c>
      <c r="Q66" t="str">
        <f ca="1">IFERROR(__xludf.DUMMYFUNCTION("""COMPUTED_VALUE"""),"Slimleaf Pawpaw")</f>
        <v>Slimleaf Pawpaw</v>
      </c>
    </row>
    <row r="67" spans="1:17">
      <c r="A67" s="3">
        <v>1</v>
      </c>
      <c r="B67" s="4">
        <v>43434</v>
      </c>
      <c r="C67" s="3" t="s">
        <v>182</v>
      </c>
      <c r="D67" s="3">
        <v>2</v>
      </c>
      <c r="E67" s="3" t="s">
        <v>55</v>
      </c>
      <c r="F67" s="3" t="s">
        <v>117</v>
      </c>
      <c r="G67" s="3" t="s">
        <v>118</v>
      </c>
      <c r="H67" s="3" t="s">
        <v>119</v>
      </c>
      <c r="I67" s="3">
        <v>2</v>
      </c>
      <c r="J67" s="3">
        <v>2</v>
      </c>
      <c r="O67" t="str">
        <f ca="1">IFERROR(__xludf.DUMMYFUNCTION("""COMPUTED_VALUE"""),"Trifolium")</f>
        <v>Trifolium</v>
      </c>
      <c r="P67" t="str">
        <f ca="1">IFERROR(__xludf.DUMMYFUNCTION("""COMPUTED_VALUE"""),"Rhus copallinum")</f>
        <v>Rhus copallinum</v>
      </c>
      <c r="Q67" t="str">
        <f ca="1">IFERROR(__xludf.DUMMYFUNCTION("""COMPUTED_VALUE"""),"Smilax")</f>
        <v>Smilax</v>
      </c>
    </row>
    <row r="68" spans="1:17">
      <c r="A68" s="3">
        <v>1</v>
      </c>
      <c r="B68" s="4">
        <v>43434</v>
      </c>
      <c r="C68" s="3" t="s">
        <v>182</v>
      </c>
      <c r="D68" s="3">
        <v>4</v>
      </c>
      <c r="E68" s="3" t="s">
        <v>77</v>
      </c>
      <c r="F68" s="3" t="s">
        <v>78</v>
      </c>
      <c r="G68" s="3" t="s">
        <v>183</v>
      </c>
      <c r="H68" s="3" t="s">
        <v>184</v>
      </c>
      <c r="I68" s="3">
        <v>1</v>
      </c>
      <c r="J68" s="3">
        <v>6</v>
      </c>
      <c r="K68" s="3" t="s">
        <v>71</v>
      </c>
      <c r="O68" t="str">
        <f ca="1">IFERROR(__xludf.DUMMYFUNCTION("""COMPUTED_VALUE"""),"Vaccinium ")</f>
        <v xml:space="preserve">Vaccinium </v>
      </c>
      <c r="P68" t="str">
        <f ca="1">IFERROR(__xludf.DUMMYFUNCTION("""COMPUTED_VALUE"""),"Rhynchosia spp.")</f>
        <v>Rhynchosia spp.</v>
      </c>
      <c r="Q68" t="str">
        <f ca="1">IFERROR(__xludf.DUMMYFUNCTION("""COMPUTED_VALUE"""),"Sorghastrum")</f>
        <v>Sorghastrum</v>
      </c>
    </row>
    <row r="69" spans="1:17">
      <c r="A69" s="3">
        <v>1</v>
      </c>
      <c r="B69" s="4">
        <v>43434</v>
      </c>
      <c r="C69" s="3" t="s">
        <v>182</v>
      </c>
      <c r="D69" s="3">
        <v>4</v>
      </c>
      <c r="E69" s="3" t="s">
        <v>124</v>
      </c>
      <c r="F69" s="3" t="s">
        <v>125</v>
      </c>
      <c r="G69" s="3" t="s">
        <v>126</v>
      </c>
      <c r="H69" s="3" t="s">
        <v>127</v>
      </c>
      <c r="I69" s="3">
        <v>1</v>
      </c>
      <c r="J69" s="3">
        <v>4</v>
      </c>
      <c r="O69" t="str">
        <f ca="1">IFERROR(__xludf.DUMMYFUNCTION("""COMPUTED_VALUE"""),"Vitis")</f>
        <v>Vitis</v>
      </c>
      <c r="P69" t="str">
        <f ca="1">IFERROR(__xludf.DUMMYFUNCTION("""COMPUTED_VALUE"""),"Rhynchospora spp.")</f>
        <v>Rhynchospora spp.</v>
      </c>
      <c r="Q69" t="str">
        <f ca="1">IFERROR(__xludf.DUMMYFUNCTION("""COMPUTED_VALUE"""),"Southern Red Oak")</f>
        <v>Southern Red Oak</v>
      </c>
    </row>
    <row r="70" spans="1:17">
      <c r="A70" s="3">
        <v>1</v>
      </c>
      <c r="B70" s="4">
        <v>43434</v>
      </c>
      <c r="C70" s="3" t="s">
        <v>182</v>
      </c>
      <c r="D70" s="3">
        <v>2</v>
      </c>
      <c r="E70" s="3" t="s">
        <v>185</v>
      </c>
      <c r="F70" s="3" t="s">
        <v>186</v>
      </c>
      <c r="G70" s="3" t="s">
        <v>187</v>
      </c>
      <c r="H70" s="3" t="s">
        <v>188</v>
      </c>
      <c r="I70" s="3">
        <v>1</v>
      </c>
      <c r="J70" s="3">
        <v>3</v>
      </c>
      <c r="P70" t="str">
        <f ca="1">IFERROR(__xludf.DUMMYFUNCTION("""COMPUTED_VALUE"""),"Rubus cuneifolius")</f>
        <v>Rubus cuneifolius</v>
      </c>
      <c r="Q70" t="str">
        <f ca="1">IFERROR(__xludf.DUMMYFUNCTION("""COMPUTED_VALUE"""),"Spanish Needle")</f>
        <v>Spanish Needle</v>
      </c>
    </row>
    <row r="71" spans="1:17">
      <c r="A71" s="3">
        <v>1</v>
      </c>
      <c r="B71" s="4">
        <v>43434</v>
      </c>
      <c r="C71" s="3" t="s">
        <v>182</v>
      </c>
      <c r="D71" s="3">
        <v>4</v>
      </c>
      <c r="E71" s="3" t="s">
        <v>77</v>
      </c>
      <c r="F71" s="3" t="s">
        <v>78</v>
      </c>
      <c r="G71" s="3" t="s">
        <v>79</v>
      </c>
      <c r="H71" s="3" t="s">
        <v>80</v>
      </c>
      <c r="I71" s="3">
        <v>1</v>
      </c>
      <c r="J71" s="3">
        <v>3</v>
      </c>
      <c r="P71" t="str">
        <f ca="1">IFERROR(__xludf.DUMMYFUNCTION("""COMPUTED_VALUE"""),"Sabal palmetto")</f>
        <v>Sabal palmetto</v>
      </c>
      <c r="Q71" t="str">
        <f ca="1">IFERROR(__xludf.DUMMYFUNCTION("""COMPUTED_VALUE"""),"Stinging Nettle")</f>
        <v>Stinging Nettle</v>
      </c>
    </row>
    <row r="72" spans="1:17">
      <c r="A72" s="3">
        <v>1</v>
      </c>
      <c r="B72" s="4">
        <v>43434</v>
      </c>
      <c r="C72" s="3" t="s">
        <v>182</v>
      </c>
      <c r="D72" s="3">
        <v>4</v>
      </c>
      <c r="E72" s="3" t="s">
        <v>55</v>
      </c>
      <c r="F72" s="3" t="s">
        <v>137</v>
      </c>
      <c r="G72" s="3" t="s">
        <v>138</v>
      </c>
      <c r="H72" s="3" t="s">
        <v>139</v>
      </c>
      <c r="I72" s="3">
        <v>1</v>
      </c>
      <c r="J72" s="3">
        <v>2</v>
      </c>
      <c r="P72" t="str">
        <f ca="1">IFERROR(__xludf.DUMMYFUNCTION("""COMPUTED_VALUE"""),"Serenoa repens")</f>
        <v>Serenoa repens</v>
      </c>
      <c r="Q72" t="str">
        <f ca="1">IFERROR(__xludf.DUMMYFUNCTION("""COMPUTED_VALUE"""),"Sugarberry")</f>
        <v>Sugarberry</v>
      </c>
    </row>
    <row r="73" spans="1:17">
      <c r="A73" s="3">
        <v>1</v>
      </c>
      <c r="B73" s="4">
        <v>43434</v>
      </c>
      <c r="C73" s="3" t="s">
        <v>182</v>
      </c>
      <c r="D73" s="3">
        <v>4</v>
      </c>
      <c r="E73" s="3" t="s">
        <v>149</v>
      </c>
      <c r="F73" s="3" t="s">
        <v>150</v>
      </c>
      <c r="G73" s="3" t="s">
        <v>151</v>
      </c>
      <c r="H73" s="3" t="s">
        <v>152</v>
      </c>
      <c r="I73" s="3">
        <v>1</v>
      </c>
      <c r="J73" s="3">
        <v>2</v>
      </c>
      <c r="P73" t="str">
        <f ca="1">IFERROR(__xludf.DUMMYFUNCTION("""COMPUTED_VALUE"""),"Setaria parviflora")</f>
        <v>Setaria parviflora</v>
      </c>
      <c r="Q73" t="str">
        <f ca="1">IFERROR(__xludf.DUMMYFUNCTION("""COMPUTED_VALUE"""),"Summer Grape")</f>
        <v>Summer Grape</v>
      </c>
    </row>
    <row r="74" spans="1:17">
      <c r="A74" s="3">
        <v>1</v>
      </c>
      <c r="B74" s="4">
        <v>43434</v>
      </c>
      <c r="C74" s="3" t="s">
        <v>182</v>
      </c>
      <c r="D74" s="3">
        <v>4</v>
      </c>
      <c r="E74" s="3" t="s">
        <v>21</v>
      </c>
      <c r="F74" s="3" t="s">
        <v>72</v>
      </c>
      <c r="G74" s="3" t="s">
        <v>73</v>
      </c>
      <c r="H74" s="3" t="s">
        <v>74</v>
      </c>
      <c r="I74" s="3">
        <v>1</v>
      </c>
      <c r="J74" s="3">
        <v>2</v>
      </c>
      <c r="P74" t="str">
        <f ca="1">IFERROR(__xludf.DUMMYFUNCTION("""COMPUTED_VALUE"""),"Smilax auriculata")</f>
        <v>Smilax auriculata</v>
      </c>
      <c r="Q74" t="str">
        <f ca="1">IFERROR(__xludf.DUMMYFUNCTION("""COMPUTED_VALUE"""),"Swamp Chestnut")</f>
        <v>Swamp Chestnut</v>
      </c>
    </row>
    <row r="75" spans="1:17">
      <c r="A75" s="3">
        <v>1</v>
      </c>
      <c r="B75" s="4">
        <v>43434</v>
      </c>
      <c r="C75" s="3" t="s">
        <v>182</v>
      </c>
      <c r="D75" s="3">
        <v>4</v>
      </c>
      <c r="E75" s="3" t="s">
        <v>55</v>
      </c>
      <c r="F75" s="3" t="s">
        <v>189</v>
      </c>
      <c r="G75" s="3" t="s">
        <v>190</v>
      </c>
      <c r="H75" s="3" t="s">
        <v>191</v>
      </c>
      <c r="I75" s="3">
        <v>1</v>
      </c>
      <c r="J75" s="3">
        <v>1</v>
      </c>
      <c r="P75" t="str">
        <f ca="1">IFERROR(__xludf.DUMMYFUNCTION("""COMPUTED_VALUE"""),"Smilax bona-nox")</f>
        <v>Smilax bona-nox</v>
      </c>
      <c r="Q75" t="str">
        <f ca="1">IFERROR(__xludf.DUMMYFUNCTION("""COMPUTED_VALUE"""),"Swampbay")</f>
        <v>Swampbay</v>
      </c>
    </row>
    <row r="76" spans="1:17">
      <c r="A76" s="3">
        <v>1</v>
      </c>
      <c r="B76" s="4">
        <v>43434</v>
      </c>
      <c r="C76" s="3" t="s">
        <v>182</v>
      </c>
      <c r="D76" s="3">
        <v>4</v>
      </c>
      <c r="E76" s="3" t="s">
        <v>109</v>
      </c>
      <c r="F76" s="3" t="s">
        <v>110</v>
      </c>
      <c r="G76" s="3" t="s">
        <v>111</v>
      </c>
      <c r="H76" s="3" t="s">
        <v>112</v>
      </c>
      <c r="I76" s="3">
        <v>1</v>
      </c>
      <c r="J76" s="3">
        <v>1</v>
      </c>
      <c r="P76" t="str">
        <f ca="1">IFERROR(__xludf.DUMMYFUNCTION("""COMPUTED_VALUE"""),"Smilax glauca")</f>
        <v>Smilax glauca</v>
      </c>
      <c r="Q76" t="str">
        <f ca="1">IFERROR(__xludf.DUMMYFUNCTION("""COMPUTED_VALUE"""),"Sweetgum")</f>
        <v>Sweetgum</v>
      </c>
    </row>
    <row r="77" spans="1:17">
      <c r="A77" s="3">
        <v>1</v>
      </c>
      <c r="B77" s="4">
        <v>43447</v>
      </c>
      <c r="C77" s="3" t="s">
        <v>192</v>
      </c>
      <c r="D77" s="3">
        <v>1</v>
      </c>
      <c r="E77" s="3" t="s">
        <v>75</v>
      </c>
      <c r="F77" s="3" t="s">
        <v>75</v>
      </c>
      <c r="G77" s="3" t="s">
        <v>75</v>
      </c>
      <c r="H77" s="3" t="s">
        <v>75</v>
      </c>
      <c r="I77" s="3">
        <v>5</v>
      </c>
      <c r="J77" s="3" t="s">
        <v>75</v>
      </c>
      <c r="P77" t="str">
        <f ca="1">IFERROR(__xludf.DUMMYFUNCTION("""COMPUTED_VALUE"""),"Smilax laurifolia
")</f>
        <v xml:space="preserve">Smilax laurifolia
</v>
      </c>
      <c r="Q77" t="str">
        <f ca="1">IFERROR(__xludf.DUMMYFUNCTION("""COMPUTED_VALUE"""),"Tall Bluestem")</f>
        <v>Tall Bluestem</v>
      </c>
    </row>
    <row r="78" spans="1:17">
      <c r="A78" s="3">
        <v>1</v>
      </c>
      <c r="B78" s="4">
        <v>43447</v>
      </c>
      <c r="C78" s="3" t="s">
        <v>192</v>
      </c>
      <c r="D78" s="3">
        <v>3</v>
      </c>
      <c r="E78" s="3" t="s">
        <v>55</v>
      </c>
      <c r="F78" s="3" t="s">
        <v>140</v>
      </c>
      <c r="G78" s="3" t="s">
        <v>141</v>
      </c>
      <c r="H78" s="3" t="s">
        <v>142</v>
      </c>
      <c r="I78" s="3">
        <v>4</v>
      </c>
      <c r="J78" s="3">
        <v>5</v>
      </c>
      <c r="P78" t="str">
        <f ca="1">IFERROR(__xludf.DUMMYFUNCTION("""COMPUTED_VALUE"""),"Smilax spp.")</f>
        <v>Smilax spp.</v>
      </c>
      <c r="Q78" t="str">
        <f ca="1">IFERROR(__xludf.DUMMYFUNCTION("""COMPUTED_VALUE"""),"Tall Elephantsfoot")</f>
        <v>Tall Elephantsfoot</v>
      </c>
    </row>
    <row r="79" spans="1:17">
      <c r="A79" s="3">
        <v>1</v>
      </c>
      <c r="B79" s="4">
        <v>43447</v>
      </c>
      <c r="C79" s="3" t="s">
        <v>192</v>
      </c>
      <c r="D79" s="3">
        <v>3</v>
      </c>
      <c r="E79" s="3" t="s">
        <v>55</v>
      </c>
      <c r="F79" s="3" t="s">
        <v>117</v>
      </c>
      <c r="G79" s="3" t="s">
        <v>118</v>
      </c>
      <c r="H79" s="3" t="s">
        <v>119</v>
      </c>
      <c r="I79" s="3">
        <v>4</v>
      </c>
      <c r="J79" s="3">
        <v>3</v>
      </c>
      <c r="P79" t="str">
        <f ca="1">IFERROR(__xludf.DUMMYFUNCTION("""COMPUTED_VALUE"""),"Smilax tamnoides")</f>
        <v>Smilax tamnoides</v>
      </c>
      <c r="Q79" t="str">
        <f ca="1">IFERROR(__xludf.DUMMYFUNCTION("""COMPUTED_VALUE"""),"Thistle")</f>
        <v>Thistle</v>
      </c>
    </row>
    <row r="80" spans="1:17">
      <c r="A80" s="3">
        <v>1</v>
      </c>
      <c r="B80" s="4">
        <v>43447</v>
      </c>
      <c r="C80" s="3" t="s">
        <v>192</v>
      </c>
      <c r="D80" s="3">
        <v>4</v>
      </c>
      <c r="E80" s="3" t="s">
        <v>25</v>
      </c>
      <c r="F80" s="3" t="s">
        <v>33</v>
      </c>
      <c r="G80" s="3" t="s">
        <v>34</v>
      </c>
      <c r="H80" s="3" t="s">
        <v>35</v>
      </c>
      <c r="I80" s="3">
        <v>3</v>
      </c>
      <c r="J80" s="3">
        <v>6</v>
      </c>
      <c r="P80" t="str">
        <f ca="1">IFERROR(__xludf.DUMMYFUNCTION("""COMPUTED_VALUE"""),"Soladago spp.")</f>
        <v>Soladago spp.</v>
      </c>
      <c r="Q80" t="str">
        <f ca="1">IFERROR(__xludf.DUMMYFUNCTION("""COMPUTED_VALUE"""),"Twinflower")</f>
        <v>Twinflower</v>
      </c>
    </row>
    <row r="81" spans="1:17">
      <c r="A81" s="3">
        <v>1</v>
      </c>
      <c r="B81" s="4">
        <v>43447</v>
      </c>
      <c r="C81" s="3" t="s">
        <v>192</v>
      </c>
      <c r="D81" s="3">
        <v>4</v>
      </c>
      <c r="E81" s="3" t="s">
        <v>51</v>
      </c>
      <c r="F81" s="3" t="s">
        <v>52</v>
      </c>
      <c r="G81" s="3" t="s">
        <v>53</v>
      </c>
      <c r="H81" s="3" t="s">
        <v>54</v>
      </c>
      <c r="I81" s="3">
        <v>3</v>
      </c>
      <c r="J81" s="3">
        <v>5</v>
      </c>
      <c r="P81" t="str">
        <f ca="1">IFERROR(__xludf.DUMMYFUNCTION("""COMPUTED_VALUE"""),"Solanum americanum")</f>
        <v>Solanum americanum</v>
      </c>
      <c r="Q81" t="str">
        <f ca="1">IFERROR(__xludf.DUMMYFUNCTION("""COMPUTED_VALUE"""),"Virginia Creeper")</f>
        <v>Virginia Creeper</v>
      </c>
    </row>
    <row r="82" spans="1:17">
      <c r="A82" s="3">
        <v>1</v>
      </c>
      <c r="B82" s="4">
        <v>43447</v>
      </c>
      <c r="C82" s="3" t="s">
        <v>192</v>
      </c>
      <c r="D82" s="3">
        <v>4</v>
      </c>
      <c r="E82" s="3" t="s">
        <v>81</v>
      </c>
      <c r="F82" s="3" t="s">
        <v>82</v>
      </c>
      <c r="G82" s="3" t="s">
        <v>99</v>
      </c>
      <c r="H82" s="3" t="s">
        <v>100</v>
      </c>
      <c r="I82" s="3">
        <v>3</v>
      </c>
      <c r="J82" s="3">
        <v>5</v>
      </c>
      <c r="P82" t="str">
        <f ca="1">IFERROR(__xludf.DUMMYFUNCTION("""COMPUTED_VALUE"""),"Sonchus spp.")</f>
        <v>Sonchus spp.</v>
      </c>
      <c r="Q82" t="str">
        <f ca="1">IFERROR(__xludf.DUMMYFUNCTION("""COMPUTED_VALUE"""),"Wild Lettuce")</f>
        <v>Wild Lettuce</v>
      </c>
    </row>
    <row r="83" spans="1:17">
      <c r="A83" s="3">
        <v>1</v>
      </c>
      <c r="B83" s="4">
        <v>43447</v>
      </c>
      <c r="C83" s="3" t="s">
        <v>192</v>
      </c>
      <c r="D83" s="3">
        <v>3</v>
      </c>
      <c r="E83" s="3" t="s">
        <v>63</v>
      </c>
      <c r="F83" s="3" t="s">
        <v>128</v>
      </c>
      <c r="G83" s="3" t="s">
        <v>129</v>
      </c>
      <c r="H83" s="3" t="s">
        <v>130</v>
      </c>
      <c r="I83" s="3">
        <v>3</v>
      </c>
      <c r="J83" s="3">
        <v>2</v>
      </c>
      <c r="P83" t="str">
        <f ca="1">IFERROR(__xludf.DUMMYFUNCTION("""COMPUTED_VALUE"""),"Sorghastrum spp.")</f>
        <v>Sorghastrum spp.</v>
      </c>
      <c r="Q83" t="str">
        <f ca="1">IFERROR(__xludf.DUMMYFUNCTION("""COMPUTED_VALUE"""),"Wild Radish")</f>
        <v>Wild Radish</v>
      </c>
    </row>
    <row r="84" spans="1:17">
      <c r="A84" s="3">
        <v>1</v>
      </c>
      <c r="B84" s="4">
        <v>43447</v>
      </c>
      <c r="C84" s="3" t="s">
        <v>192</v>
      </c>
      <c r="D84" s="3">
        <v>3</v>
      </c>
      <c r="E84" s="3" t="s">
        <v>153</v>
      </c>
      <c r="F84" s="3" t="s">
        <v>154</v>
      </c>
      <c r="G84" s="3" t="s">
        <v>155</v>
      </c>
      <c r="H84" s="3" t="s">
        <v>156</v>
      </c>
      <c r="I84" s="3">
        <v>3</v>
      </c>
      <c r="J84" s="3">
        <v>1</v>
      </c>
      <c r="P84" t="str">
        <f ca="1">IFERROR(__xludf.DUMMYFUNCTION("""COMPUTED_VALUE"""),"Stachys floridana")</f>
        <v>Stachys floridana</v>
      </c>
      <c r="Q84" t="str">
        <f ca="1">IFERROR(__xludf.DUMMYFUNCTION("""COMPUTED_VALUE"""),"Winged Sumac")</f>
        <v>Winged Sumac</v>
      </c>
    </row>
    <row r="85" spans="1:17">
      <c r="A85" s="3">
        <v>1</v>
      </c>
      <c r="B85" s="4">
        <v>43447</v>
      </c>
      <c r="C85" s="3" t="s">
        <v>192</v>
      </c>
      <c r="D85" s="3">
        <v>4</v>
      </c>
      <c r="E85" s="3" t="s">
        <v>67</v>
      </c>
      <c r="F85" s="3" t="s">
        <v>68</v>
      </c>
      <c r="G85" s="3" t="s">
        <v>69</v>
      </c>
      <c r="H85" s="3" t="s">
        <v>70</v>
      </c>
      <c r="I85" s="3">
        <v>2</v>
      </c>
      <c r="J85" s="3">
        <v>6</v>
      </c>
      <c r="P85" t="str">
        <f ca="1">IFERROR(__xludf.DUMMYFUNCTION("""COMPUTED_VALUE"""),"Trifolium spp.")</f>
        <v>Trifolium spp.</v>
      </c>
      <c r="Q85" t="str">
        <f ca="1">IFERROR(__xludf.DUMMYFUNCTION("""COMPUTED_VALUE"""),"Wiregrass")</f>
        <v>Wiregrass</v>
      </c>
    </row>
    <row r="86" spans="1:17">
      <c r="A86" s="3">
        <v>1</v>
      </c>
      <c r="B86" s="4">
        <v>43447</v>
      </c>
      <c r="C86" s="3" t="s">
        <v>192</v>
      </c>
      <c r="D86" s="3">
        <v>4</v>
      </c>
      <c r="E86" s="3" t="s">
        <v>81</v>
      </c>
      <c r="F86" s="3" t="s">
        <v>82</v>
      </c>
      <c r="G86" s="3" t="s">
        <v>193</v>
      </c>
      <c r="H86" s="3" t="s">
        <v>194</v>
      </c>
      <c r="I86" s="3">
        <v>2</v>
      </c>
      <c r="J86" s="3">
        <v>5</v>
      </c>
      <c r="P86" t="str">
        <f ca="1">IFERROR(__xludf.DUMMYFUNCTION("""COMPUTED_VALUE"""),"UK - Celtis")</f>
        <v>UK - Celtis</v>
      </c>
      <c r="Q86" t="str">
        <f ca="1">IFERROR(__xludf.DUMMYFUNCTION("""COMPUTED_VALUE"""),"Wood Sorrel")</f>
        <v>Wood Sorrel</v>
      </c>
    </row>
    <row r="87" spans="1:17">
      <c r="A87" s="3">
        <v>1</v>
      </c>
      <c r="B87" s="4">
        <v>43447</v>
      </c>
      <c r="C87" s="3" t="s">
        <v>192</v>
      </c>
      <c r="D87" s="3">
        <v>3</v>
      </c>
      <c r="E87" s="3" t="s">
        <v>25</v>
      </c>
      <c r="F87" s="3" t="s">
        <v>179</v>
      </c>
      <c r="G87" s="3" t="s">
        <v>180</v>
      </c>
      <c r="H87" s="3" t="s">
        <v>181</v>
      </c>
      <c r="I87" s="3">
        <v>2</v>
      </c>
      <c r="J87" s="3">
        <v>4</v>
      </c>
      <c r="P87" t="str">
        <f ca="1">IFERROR(__xludf.DUMMYFUNCTION("""COMPUTED_VALUE"""),"UK - Double Edge Sedge")</f>
        <v>UK - Double Edge Sedge</v>
      </c>
      <c r="Q87" t="str">
        <f ca="1">IFERROR(__xludf.DUMMYFUNCTION("""COMPUTED_VALUE"""),"Yellow Jessamine")</f>
        <v>Yellow Jessamine</v>
      </c>
    </row>
    <row r="88" spans="1:17">
      <c r="A88" s="3">
        <v>1</v>
      </c>
      <c r="B88" s="4">
        <v>43447</v>
      </c>
      <c r="C88" s="3" t="s">
        <v>192</v>
      </c>
      <c r="D88" s="3">
        <v>4</v>
      </c>
      <c r="E88" s="3" t="s">
        <v>21</v>
      </c>
      <c r="F88" s="3" t="s">
        <v>22</v>
      </c>
      <c r="G88" s="3" t="s">
        <v>23</v>
      </c>
      <c r="H88" s="3" t="s">
        <v>24</v>
      </c>
      <c r="I88" s="3">
        <v>2</v>
      </c>
      <c r="J88" s="3">
        <v>4</v>
      </c>
      <c r="P88" t="str">
        <f ca="1">IFERROR(__xludf.DUMMYFUNCTION("""COMPUTED_VALUE"""),"UK - Fleshy Vine")</f>
        <v>UK - Fleshy Vine</v>
      </c>
      <c r="Q88" t="str">
        <f ca="1">IFERROR(__xludf.DUMMYFUNCTION("""COMPUTED_VALUE"""),"Zarzaparrilla")</f>
        <v>Zarzaparrilla</v>
      </c>
    </row>
    <row r="89" spans="1:17">
      <c r="A89" s="3">
        <v>1</v>
      </c>
      <c r="B89" s="4">
        <v>43447</v>
      </c>
      <c r="C89" s="3" t="s">
        <v>192</v>
      </c>
      <c r="D89" s="3">
        <v>4</v>
      </c>
      <c r="E89" s="3" t="s">
        <v>88</v>
      </c>
      <c r="F89" s="3" t="s">
        <v>89</v>
      </c>
      <c r="G89" s="3" t="s">
        <v>90</v>
      </c>
      <c r="H89" s="3" t="s">
        <v>91</v>
      </c>
      <c r="I89" s="3">
        <v>2</v>
      </c>
      <c r="J89" s="3">
        <v>3</v>
      </c>
      <c r="P89" t="str">
        <f ca="1">IFERROR(__xludf.DUMMYFUNCTION("""COMPUTED_VALUE"""),"UK - Galactica")</f>
        <v>UK - Galactica</v>
      </c>
    </row>
    <row r="90" spans="1:17">
      <c r="A90" s="3">
        <v>1</v>
      </c>
      <c r="B90" s="4">
        <v>43447</v>
      </c>
      <c r="C90" s="3" t="s">
        <v>192</v>
      </c>
      <c r="D90" s="3">
        <v>4</v>
      </c>
      <c r="E90" s="3" t="s">
        <v>77</v>
      </c>
      <c r="F90" s="3" t="s">
        <v>78</v>
      </c>
      <c r="G90" s="3" t="s">
        <v>79</v>
      </c>
      <c r="H90" s="3" t="s">
        <v>80</v>
      </c>
      <c r="I90" s="3">
        <v>2</v>
      </c>
      <c r="J90" s="3">
        <v>3</v>
      </c>
      <c r="P90" t="str">
        <f ca="1">IFERROR(__xludf.DUMMYFUNCTION("""COMPUTED_VALUE"""),"UK - Guinea Bamboo")</f>
        <v>UK - Guinea Bamboo</v>
      </c>
    </row>
    <row r="91" spans="1:17">
      <c r="A91" s="3">
        <v>1</v>
      </c>
      <c r="B91" s="4">
        <v>43447</v>
      </c>
      <c r="C91" s="3" t="s">
        <v>192</v>
      </c>
      <c r="D91" s="3">
        <v>1</v>
      </c>
      <c r="E91" s="3" t="s">
        <v>75</v>
      </c>
      <c r="F91" s="3" t="s">
        <v>75</v>
      </c>
      <c r="G91" s="3" t="s">
        <v>195</v>
      </c>
      <c r="H91" s="3" t="s">
        <v>75</v>
      </c>
      <c r="I91" s="3">
        <v>2</v>
      </c>
      <c r="J91" s="3">
        <v>2</v>
      </c>
      <c r="P91" t="str">
        <f ca="1">IFERROR(__xludf.DUMMYFUNCTION("""COMPUTED_VALUE"""),"UK - Hairy whirled leaves")</f>
        <v>UK - Hairy whirled leaves</v>
      </c>
    </row>
    <row r="92" spans="1:17">
      <c r="A92" s="3">
        <v>1</v>
      </c>
      <c r="B92" s="4">
        <v>43447</v>
      </c>
      <c r="C92" s="3" t="s">
        <v>192</v>
      </c>
      <c r="D92" s="3">
        <v>4</v>
      </c>
      <c r="E92" s="3" t="s">
        <v>63</v>
      </c>
      <c r="F92" s="3" t="s">
        <v>196</v>
      </c>
      <c r="G92" s="3" t="s">
        <v>197</v>
      </c>
      <c r="H92" s="3" t="s">
        <v>198</v>
      </c>
      <c r="I92" s="3">
        <v>1</v>
      </c>
      <c r="J92" s="3">
        <v>6</v>
      </c>
      <c r="P92" t="str">
        <f ca="1">IFERROR(__xludf.DUMMYFUNCTION("""COMPUTED_VALUE"""),"UK - Lancelote Sandpaper")</f>
        <v>UK - Lancelote Sandpaper</v>
      </c>
    </row>
    <row r="93" spans="1:17">
      <c r="A93" s="3">
        <v>1</v>
      </c>
      <c r="B93" s="4">
        <v>43447</v>
      </c>
      <c r="C93" s="3" t="s">
        <v>192</v>
      </c>
      <c r="D93" s="3">
        <v>4</v>
      </c>
      <c r="E93" s="3" t="s">
        <v>21</v>
      </c>
      <c r="F93" s="3" t="s">
        <v>72</v>
      </c>
      <c r="G93" s="3" t="s">
        <v>73</v>
      </c>
      <c r="H93" s="3" t="s">
        <v>74</v>
      </c>
      <c r="I93" s="3">
        <v>1</v>
      </c>
      <c r="J93" s="3">
        <v>6</v>
      </c>
      <c r="P93" t="str">
        <f ca="1">IFERROR(__xludf.DUMMYFUNCTION("""COMPUTED_VALUE"""),"UK - Seedling")</f>
        <v>UK - Seedling</v>
      </c>
    </row>
    <row r="94" spans="1:17">
      <c r="A94" s="3">
        <v>1</v>
      </c>
      <c r="B94" s="4">
        <v>43447</v>
      </c>
      <c r="C94" s="3" t="s">
        <v>192</v>
      </c>
      <c r="D94" s="3">
        <v>4</v>
      </c>
      <c r="E94" s="3" t="s">
        <v>25</v>
      </c>
      <c r="F94" s="3" t="s">
        <v>101</v>
      </c>
      <c r="G94" s="3" t="s">
        <v>102</v>
      </c>
      <c r="H94" s="3" t="s">
        <v>103</v>
      </c>
      <c r="I94" s="3">
        <v>1</v>
      </c>
      <c r="J94" s="3">
        <v>5</v>
      </c>
      <c r="P94" t="str">
        <f ca="1">IFERROR(__xludf.DUMMYFUNCTION("""COMPUTED_VALUE"""),"UK - Swampbay")</f>
        <v>UK - Swampbay</v>
      </c>
    </row>
    <row r="95" spans="1:17">
      <c r="A95" s="3">
        <v>1</v>
      </c>
      <c r="B95" s="4">
        <v>43447</v>
      </c>
      <c r="C95" s="3" t="s">
        <v>192</v>
      </c>
      <c r="D95" s="3">
        <v>4</v>
      </c>
      <c r="E95" s="3" t="s">
        <v>63</v>
      </c>
      <c r="F95" s="3" t="s">
        <v>167</v>
      </c>
      <c r="G95" s="3" t="s">
        <v>168</v>
      </c>
      <c r="H95" s="3" t="s">
        <v>169</v>
      </c>
      <c r="I95" s="3">
        <v>1</v>
      </c>
      <c r="J95" s="3">
        <v>5</v>
      </c>
      <c r="P95" t="str">
        <f ca="1">IFERROR(__xludf.DUMMYFUNCTION("""COMPUTED_VALUE"""),"UK - Whirled Spiky Stem Vine")</f>
        <v>UK - Whirled Spiky Stem Vine</v>
      </c>
    </row>
    <row r="96" spans="1:17">
      <c r="A96" s="3">
        <v>1</v>
      </c>
      <c r="B96" s="4">
        <v>43447</v>
      </c>
      <c r="C96" s="3" t="s">
        <v>192</v>
      </c>
      <c r="D96" s="3">
        <v>4</v>
      </c>
      <c r="E96" s="3" t="s">
        <v>40</v>
      </c>
      <c r="F96" s="3" t="s">
        <v>199</v>
      </c>
      <c r="G96" s="3" t="s">
        <v>200</v>
      </c>
      <c r="H96" s="3" t="s">
        <v>201</v>
      </c>
      <c r="I96" s="3">
        <v>1</v>
      </c>
      <c r="J96" s="3">
        <v>4</v>
      </c>
      <c r="P96" t="str">
        <f ca="1">IFERROR(__xludf.DUMMYFUNCTION("""COMPUTED_VALUE"""),"Vaccinium stamineum")</f>
        <v>Vaccinium stamineum</v>
      </c>
    </row>
    <row r="97" spans="1:16">
      <c r="A97" s="3">
        <v>1</v>
      </c>
      <c r="B97" s="4">
        <v>43447</v>
      </c>
      <c r="C97" s="3" t="s">
        <v>192</v>
      </c>
      <c r="D97" s="3">
        <v>2</v>
      </c>
      <c r="E97" s="3" t="s">
        <v>55</v>
      </c>
      <c r="F97" s="3" t="s">
        <v>143</v>
      </c>
      <c r="G97" s="3" t="s">
        <v>144</v>
      </c>
      <c r="H97" s="3" t="s">
        <v>143</v>
      </c>
      <c r="I97" s="3">
        <v>1</v>
      </c>
      <c r="J97" s="3">
        <v>4</v>
      </c>
      <c r="P97" t="str">
        <f ca="1">IFERROR(__xludf.DUMMYFUNCTION("""COMPUTED_VALUE"""),"Vitis aestivalis")</f>
        <v>Vitis aestivalis</v>
      </c>
    </row>
    <row r="98" spans="1:16">
      <c r="A98" s="3">
        <v>1</v>
      </c>
      <c r="B98" s="4">
        <v>43447</v>
      </c>
      <c r="C98" s="3" t="s">
        <v>192</v>
      </c>
      <c r="D98" s="3">
        <v>4</v>
      </c>
      <c r="E98" s="3" t="s">
        <v>55</v>
      </c>
      <c r="F98" s="3" t="s">
        <v>164</v>
      </c>
      <c r="G98" s="3" t="s">
        <v>165</v>
      </c>
      <c r="H98" s="3" t="s">
        <v>166</v>
      </c>
      <c r="I98" s="3">
        <v>1</v>
      </c>
      <c r="J98" s="3">
        <v>3</v>
      </c>
      <c r="P98" t="str">
        <f ca="1">IFERROR(__xludf.DUMMYFUNCTION("""COMPUTED_VALUE"""),"Vitis rotundifolia")</f>
        <v>Vitis rotundifolia</v>
      </c>
    </row>
    <row r="99" spans="1:16">
      <c r="A99" s="3">
        <v>1</v>
      </c>
      <c r="B99" s="4">
        <v>43447</v>
      </c>
      <c r="C99" s="3" t="s">
        <v>192</v>
      </c>
      <c r="D99" s="3">
        <v>2</v>
      </c>
      <c r="E99" s="3" t="s">
        <v>55</v>
      </c>
      <c r="F99" s="3" t="s">
        <v>202</v>
      </c>
      <c r="G99" s="3" t="s">
        <v>203</v>
      </c>
      <c r="H99" s="3" t="s">
        <v>204</v>
      </c>
      <c r="I99" s="3">
        <v>1</v>
      </c>
      <c r="J99" s="3">
        <v>3</v>
      </c>
    </row>
    <row r="100" spans="1:16">
      <c r="A100" s="3">
        <v>1</v>
      </c>
      <c r="B100" s="4">
        <v>43447</v>
      </c>
      <c r="C100" s="3" t="s">
        <v>192</v>
      </c>
      <c r="D100" s="3">
        <v>4</v>
      </c>
      <c r="E100" s="3" t="s">
        <v>160</v>
      </c>
      <c r="F100" s="3" t="s">
        <v>161</v>
      </c>
      <c r="G100" s="3" t="s">
        <v>162</v>
      </c>
      <c r="H100" s="3" t="s">
        <v>163</v>
      </c>
      <c r="I100" s="3">
        <v>1</v>
      </c>
      <c r="J100" s="3">
        <v>3</v>
      </c>
    </row>
    <row r="101" spans="1:16">
      <c r="A101" s="3">
        <v>1</v>
      </c>
      <c r="B101" s="4">
        <v>43447</v>
      </c>
      <c r="C101" s="3" t="s">
        <v>192</v>
      </c>
      <c r="D101" s="3">
        <v>4</v>
      </c>
      <c r="E101" s="3" t="s">
        <v>55</v>
      </c>
      <c r="F101" s="3" t="s">
        <v>189</v>
      </c>
      <c r="G101" s="3" t="s">
        <v>190</v>
      </c>
      <c r="H101" s="3" t="s">
        <v>191</v>
      </c>
      <c r="I101" s="3">
        <v>1</v>
      </c>
      <c r="J101" s="3">
        <v>3</v>
      </c>
    </row>
    <row r="102" spans="1:16">
      <c r="A102" s="3">
        <v>1</v>
      </c>
      <c r="B102" s="4">
        <v>43447</v>
      </c>
      <c r="C102" s="3" t="s">
        <v>192</v>
      </c>
      <c r="D102" s="3">
        <v>4</v>
      </c>
      <c r="E102" s="3" t="s">
        <v>124</v>
      </c>
      <c r="F102" s="3" t="s">
        <v>125</v>
      </c>
      <c r="G102" s="3" t="s">
        <v>126</v>
      </c>
      <c r="H102" s="3" t="s">
        <v>127</v>
      </c>
      <c r="I102" s="3">
        <v>1</v>
      </c>
      <c r="J102" s="3">
        <v>3</v>
      </c>
    </row>
    <row r="103" spans="1:16">
      <c r="A103" s="3">
        <v>1</v>
      </c>
      <c r="B103" s="4">
        <v>43447</v>
      </c>
      <c r="C103" s="3" t="s">
        <v>192</v>
      </c>
      <c r="D103" s="3">
        <v>4</v>
      </c>
      <c r="E103" s="3" t="s">
        <v>55</v>
      </c>
      <c r="F103" s="3" t="s">
        <v>137</v>
      </c>
      <c r="G103" s="3" t="s">
        <v>138</v>
      </c>
      <c r="H103" s="3" t="s">
        <v>139</v>
      </c>
      <c r="I103" s="3">
        <v>1</v>
      </c>
      <c r="J103" s="3">
        <v>2</v>
      </c>
    </row>
    <row r="104" spans="1:16">
      <c r="A104" s="3">
        <v>1</v>
      </c>
      <c r="B104" s="4">
        <v>43447</v>
      </c>
      <c r="C104" s="3" t="s">
        <v>192</v>
      </c>
      <c r="D104" s="3">
        <v>4</v>
      </c>
      <c r="E104" s="3" t="s">
        <v>205</v>
      </c>
      <c r="F104" s="3" t="s">
        <v>206</v>
      </c>
      <c r="G104" s="3" t="s">
        <v>207</v>
      </c>
      <c r="H104" s="3" t="s">
        <v>208</v>
      </c>
      <c r="I104" s="3">
        <v>1</v>
      </c>
      <c r="J104" s="3">
        <v>2</v>
      </c>
    </row>
    <row r="105" spans="1:16">
      <c r="A105" s="3">
        <v>1</v>
      </c>
      <c r="B105" s="4">
        <v>43447</v>
      </c>
      <c r="C105" s="3" t="s">
        <v>192</v>
      </c>
      <c r="D105" s="3">
        <v>3</v>
      </c>
      <c r="E105" s="3" t="s">
        <v>145</v>
      </c>
      <c r="F105" s="3" t="s">
        <v>146</v>
      </c>
      <c r="G105" s="3" t="s">
        <v>147</v>
      </c>
      <c r="H105" s="3" t="s">
        <v>148</v>
      </c>
      <c r="I105" s="3">
        <v>1</v>
      </c>
      <c r="J105" s="3">
        <v>2</v>
      </c>
    </row>
    <row r="106" spans="1:16">
      <c r="A106" s="3">
        <v>1</v>
      </c>
      <c r="B106" s="4">
        <v>43447</v>
      </c>
      <c r="C106" s="3" t="s">
        <v>192</v>
      </c>
      <c r="D106" s="3">
        <v>4</v>
      </c>
      <c r="E106" s="3" t="s">
        <v>59</v>
      </c>
      <c r="F106" s="3" t="s">
        <v>60</v>
      </c>
      <c r="G106" s="3" t="s">
        <v>61</v>
      </c>
      <c r="H106" s="3" t="s">
        <v>62</v>
      </c>
      <c r="I106" s="3">
        <v>1</v>
      </c>
      <c r="J106" s="3">
        <v>2</v>
      </c>
    </row>
    <row r="107" spans="1:16">
      <c r="A107" s="3">
        <v>1</v>
      </c>
      <c r="B107" s="4">
        <v>43447</v>
      </c>
      <c r="C107" s="3" t="s">
        <v>192</v>
      </c>
      <c r="D107" s="3">
        <v>1</v>
      </c>
      <c r="E107" s="3" t="s">
        <v>75</v>
      </c>
      <c r="F107" s="3" t="s">
        <v>75</v>
      </c>
      <c r="G107" s="3" t="s">
        <v>209</v>
      </c>
      <c r="H107" s="3" t="s">
        <v>75</v>
      </c>
      <c r="I107" s="3">
        <v>1</v>
      </c>
      <c r="J107" s="3">
        <v>1</v>
      </c>
    </row>
    <row r="108" spans="1:16">
      <c r="A108" s="3">
        <v>1</v>
      </c>
      <c r="B108" s="4">
        <v>43447</v>
      </c>
      <c r="C108" s="3" t="s">
        <v>192</v>
      </c>
      <c r="D108" s="3">
        <v>4</v>
      </c>
      <c r="E108" s="3" t="s">
        <v>109</v>
      </c>
      <c r="F108" s="3" t="s">
        <v>110</v>
      </c>
      <c r="G108" s="3" t="s">
        <v>111</v>
      </c>
      <c r="H108" s="3" t="s">
        <v>112</v>
      </c>
      <c r="I108" s="3">
        <v>1</v>
      </c>
      <c r="J108" s="3">
        <v>1</v>
      </c>
    </row>
    <row r="109" spans="1:16">
      <c r="A109" s="3">
        <v>1</v>
      </c>
      <c r="B109" s="4">
        <v>43447</v>
      </c>
      <c r="C109" s="3" t="s">
        <v>210</v>
      </c>
      <c r="D109" s="3">
        <v>2</v>
      </c>
      <c r="E109" s="3" t="s">
        <v>55</v>
      </c>
      <c r="F109" s="3" t="s">
        <v>211</v>
      </c>
      <c r="G109" s="3" t="s">
        <v>212</v>
      </c>
      <c r="H109" s="3" t="s">
        <v>213</v>
      </c>
      <c r="I109" s="3">
        <v>5</v>
      </c>
      <c r="J109" s="3">
        <v>6</v>
      </c>
    </row>
    <row r="110" spans="1:16">
      <c r="A110" s="3">
        <v>1</v>
      </c>
      <c r="B110" s="4">
        <v>43447</v>
      </c>
      <c r="C110" s="3" t="s">
        <v>210</v>
      </c>
      <c r="D110" s="3">
        <v>2</v>
      </c>
      <c r="E110" s="3" t="s">
        <v>63</v>
      </c>
      <c r="F110" s="3" t="s">
        <v>128</v>
      </c>
      <c r="G110" s="3" t="s">
        <v>214</v>
      </c>
      <c r="H110" s="3" t="s">
        <v>130</v>
      </c>
      <c r="I110" s="3">
        <v>5</v>
      </c>
      <c r="J110" s="3">
        <v>2</v>
      </c>
    </row>
    <row r="111" spans="1:16">
      <c r="A111" s="3">
        <v>1</v>
      </c>
      <c r="B111" s="4">
        <v>43447</v>
      </c>
      <c r="C111" s="3" t="s">
        <v>210</v>
      </c>
      <c r="D111" s="3">
        <v>4</v>
      </c>
      <c r="E111" s="3" t="s">
        <v>25</v>
      </c>
      <c r="F111" s="3" t="s">
        <v>48</v>
      </c>
      <c r="G111" s="3" t="s">
        <v>49</v>
      </c>
      <c r="H111" s="3" t="s">
        <v>50</v>
      </c>
      <c r="I111" s="3">
        <v>4</v>
      </c>
      <c r="J111" s="3">
        <v>6</v>
      </c>
    </row>
    <row r="112" spans="1:16">
      <c r="A112" s="3">
        <v>1</v>
      </c>
      <c r="B112" s="4">
        <v>43447</v>
      </c>
      <c r="C112" s="3" t="s">
        <v>210</v>
      </c>
      <c r="D112" s="3">
        <v>4</v>
      </c>
      <c r="E112" s="3" t="s">
        <v>145</v>
      </c>
      <c r="F112" s="3" t="s">
        <v>174</v>
      </c>
      <c r="G112" s="3" t="s">
        <v>175</v>
      </c>
      <c r="H112" s="3" t="s">
        <v>176</v>
      </c>
      <c r="I112" s="3">
        <v>4</v>
      </c>
      <c r="J112" s="3">
        <v>3</v>
      </c>
    </row>
    <row r="113" spans="1:11">
      <c r="A113" s="3">
        <v>1</v>
      </c>
      <c r="B113" s="4">
        <v>43447</v>
      </c>
      <c r="C113" s="3" t="s">
        <v>210</v>
      </c>
      <c r="D113" s="3">
        <v>4</v>
      </c>
      <c r="E113" s="3" t="s">
        <v>59</v>
      </c>
      <c r="F113" s="3" t="s">
        <v>60</v>
      </c>
      <c r="G113" s="3" t="s">
        <v>61</v>
      </c>
      <c r="H113" s="3" t="s">
        <v>62</v>
      </c>
      <c r="I113" s="3">
        <v>4</v>
      </c>
      <c r="J113" s="3">
        <v>3</v>
      </c>
    </row>
    <row r="114" spans="1:11">
      <c r="A114" s="3">
        <v>1</v>
      </c>
      <c r="B114" s="4">
        <v>43447</v>
      </c>
      <c r="C114" s="3" t="s">
        <v>210</v>
      </c>
      <c r="D114" s="3">
        <v>4</v>
      </c>
      <c r="E114" s="3" t="s">
        <v>25</v>
      </c>
      <c r="F114" s="3" t="s">
        <v>33</v>
      </c>
      <c r="G114" s="3" t="s">
        <v>34</v>
      </c>
      <c r="H114" s="3" t="s">
        <v>35</v>
      </c>
      <c r="I114" s="3">
        <v>3</v>
      </c>
      <c r="J114" s="3">
        <v>6</v>
      </c>
    </row>
    <row r="115" spans="1:11">
      <c r="A115" s="3">
        <v>1</v>
      </c>
      <c r="B115" s="4">
        <v>43447</v>
      </c>
      <c r="C115" s="3" t="s">
        <v>210</v>
      </c>
      <c r="D115" s="3">
        <v>4</v>
      </c>
      <c r="E115" s="3" t="s">
        <v>77</v>
      </c>
      <c r="F115" s="3" t="s">
        <v>78</v>
      </c>
      <c r="G115" s="3" t="s">
        <v>79</v>
      </c>
      <c r="H115" s="3" t="s">
        <v>80</v>
      </c>
      <c r="I115" s="3">
        <v>3</v>
      </c>
      <c r="J115" s="3">
        <v>5</v>
      </c>
    </row>
    <row r="116" spans="1:11">
      <c r="A116" s="3">
        <v>1</v>
      </c>
      <c r="B116" s="4">
        <v>43447</v>
      </c>
      <c r="C116" s="3" t="s">
        <v>210</v>
      </c>
      <c r="D116" s="3">
        <v>2</v>
      </c>
      <c r="E116" s="3" t="s">
        <v>84</v>
      </c>
      <c r="F116" s="3" t="s">
        <v>85</v>
      </c>
      <c r="G116" s="3" t="s">
        <v>86</v>
      </c>
      <c r="H116" s="3" t="s">
        <v>87</v>
      </c>
      <c r="I116" s="3">
        <v>3</v>
      </c>
      <c r="J116" s="3">
        <v>3</v>
      </c>
    </row>
    <row r="117" spans="1:11">
      <c r="A117" s="3">
        <v>1</v>
      </c>
      <c r="B117" s="4">
        <v>43447</v>
      </c>
      <c r="C117" s="3" t="s">
        <v>210</v>
      </c>
      <c r="D117" s="3">
        <v>3</v>
      </c>
      <c r="E117" s="3" t="s">
        <v>81</v>
      </c>
      <c r="F117" s="3" t="s">
        <v>82</v>
      </c>
      <c r="G117" s="3" t="s">
        <v>83</v>
      </c>
      <c r="H117" s="3" t="s">
        <v>82</v>
      </c>
      <c r="I117" s="3">
        <v>2</v>
      </c>
      <c r="J117" s="3">
        <v>6</v>
      </c>
    </row>
    <row r="118" spans="1:11">
      <c r="A118" s="3">
        <v>1</v>
      </c>
      <c r="B118" s="4">
        <v>43447</v>
      </c>
      <c r="C118" s="3" t="s">
        <v>210</v>
      </c>
      <c r="D118" s="3">
        <v>4</v>
      </c>
      <c r="E118" s="3" t="s">
        <v>55</v>
      </c>
      <c r="F118" s="3" t="s">
        <v>215</v>
      </c>
      <c r="G118" s="3" t="s">
        <v>216</v>
      </c>
      <c r="H118" s="3" t="s">
        <v>217</v>
      </c>
      <c r="I118" s="3">
        <v>2</v>
      </c>
      <c r="J118" s="3">
        <v>5</v>
      </c>
    </row>
    <row r="119" spans="1:11">
      <c r="A119" s="3">
        <v>1</v>
      </c>
      <c r="B119" s="4">
        <v>43447</v>
      </c>
      <c r="C119" s="3" t="s">
        <v>210</v>
      </c>
      <c r="D119" s="3">
        <v>4</v>
      </c>
      <c r="E119" s="3" t="s">
        <v>44</v>
      </c>
      <c r="F119" s="3" t="s">
        <v>45</v>
      </c>
      <c r="G119" s="3" t="s">
        <v>218</v>
      </c>
      <c r="H119" s="3" t="s">
        <v>219</v>
      </c>
      <c r="I119" s="3">
        <v>2</v>
      </c>
      <c r="J119" s="3">
        <v>5</v>
      </c>
    </row>
    <row r="120" spans="1:11">
      <c r="A120" s="3">
        <v>1</v>
      </c>
      <c r="B120" s="4">
        <v>43447</v>
      </c>
      <c r="C120" s="3" t="s">
        <v>210</v>
      </c>
      <c r="D120" s="3">
        <v>4</v>
      </c>
      <c r="E120" s="3" t="s">
        <v>220</v>
      </c>
      <c r="F120" s="3" t="s">
        <v>199</v>
      </c>
      <c r="G120" s="3" t="s">
        <v>200</v>
      </c>
      <c r="H120" s="3" t="s">
        <v>201</v>
      </c>
      <c r="I120" s="3">
        <v>2</v>
      </c>
      <c r="J120" s="3">
        <v>4</v>
      </c>
    </row>
    <row r="121" spans="1:11">
      <c r="A121" s="3">
        <v>1</v>
      </c>
      <c r="B121" s="4">
        <v>43447</v>
      </c>
      <c r="C121" s="3" t="s">
        <v>210</v>
      </c>
      <c r="D121" s="3">
        <v>4</v>
      </c>
      <c r="E121" s="3" t="s">
        <v>21</v>
      </c>
      <c r="F121" s="3" t="s">
        <v>72</v>
      </c>
      <c r="G121" s="3" t="s">
        <v>221</v>
      </c>
      <c r="H121" s="3" t="s">
        <v>222</v>
      </c>
      <c r="I121" s="3">
        <v>2</v>
      </c>
      <c r="J121" s="3">
        <v>4</v>
      </c>
    </row>
    <row r="122" spans="1:11">
      <c r="A122" s="3">
        <v>1</v>
      </c>
      <c r="B122" s="4">
        <v>43447</v>
      </c>
      <c r="C122" s="3" t="s">
        <v>210</v>
      </c>
      <c r="D122" s="3">
        <v>4</v>
      </c>
      <c r="E122" s="3" t="s">
        <v>51</v>
      </c>
      <c r="F122" s="3" t="s">
        <v>52</v>
      </c>
      <c r="G122" s="3" t="s">
        <v>53</v>
      </c>
      <c r="H122" s="3" t="s">
        <v>54</v>
      </c>
      <c r="I122" s="3">
        <v>2</v>
      </c>
      <c r="J122" s="3">
        <v>4</v>
      </c>
    </row>
    <row r="123" spans="1:11">
      <c r="A123" s="3">
        <v>1</v>
      </c>
      <c r="B123" s="4">
        <v>43447</v>
      </c>
      <c r="C123" s="3" t="s">
        <v>210</v>
      </c>
      <c r="D123" s="3">
        <v>4</v>
      </c>
      <c r="E123" s="3" t="s">
        <v>124</v>
      </c>
      <c r="F123" s="3" t="s">
        <v>125</v>
      </c>
      <c r="G123" s="3" t="s">
        <v>126</v>
      </c>
      <c r="H123" s="3" t="s">
        <v>127</v>
      </c>
      <c r="I123" s="3">
        <v>2</v>
      </c>
      <c r="J123" s="3">
        <v>4</v>
      </c>
    </row>
    <row r="124" spans="1:11">
      <c r="A124" s="3">
        <v>1</v>
      </c>
      <c r="B124" s="4">
        <v>43447</v>
      </c>
      <c r="C124" s="3" t="s">
        <v>210</v>
      </c>
      <c r="D124" s="3">
        <v>4</v>
      </c>
      <c r="E124" s="3" t="s">
        <v>67</v>
      </c>
      <c r="F124" s="3" t="s">
        <v>68</v>
      </c>
      <c r="G124" s="3" t="s">
        <v>69</v>
      </c>
      <c r="H124" s="3" t="s">
        <v>70</v>
      </c>
      <c r="I124" s="3">
        <v>1</v>
      </c>
      <c r="J124" s="3">
        <v>6</v>
      </c>
      <c r="K124" s="3" t="s">
        <v>71</v>
      </c>
    </row>
    <row r="125" spans="1:11">
      <c r="A125" s="3">
        <v>1</v>
      </c>
      <c r="B125" s="4">
        <v>43447</v>
      </c>
      <c r="C125" s="3" t="s">
        <v>210</v>
      </c>
      <c r="D125" s="3">
        <v>4</v>
      </c>
      <c r="E125" s="3" t="s">
        <v>21</v>
      </c>
      <c r="F125" s="3" t="s">
        <v>72</v>
      </c>
      <c r="G125" s="3" t="s">
        <v>73</v>
      </c>
      <c r="H125" s="3" t="s">
        <v>74</v>
      </c>
      <c r="I125" s="3">
        <v>1</v>
      </c>
      <c r="J125" s="3">
        <v>4</v>
      </c>
    </row>
    <row r="126" spans="1:11">
      <c r="A126" s="3">
        <v>1</v>
      </c>
      <c r="B126" s="4">
        <v>43447</v>
      </c>
      <c r="C126" s="3" t="s">
        <v>210</v>
      </c>
      <c r="D126" s="3">
        <v>4</v>
      </c>
      <c r="E126" s="3" t="s">
        <v>21</v>
      </c>
      <c r="F126" s="3" t="s">
        <v>22</v>
      </c>
      <c r="G126" s="3" t="s">
        <v>23</v>
      </c>
      <c r="H126" s="3" t="s">
        <v>24</v>
      </c>
      <c r="I126" s="3">
        <v>1</v>
      </c>
      <c r="J126" s="3">
        <v>4</v>
      </c>
    </row>
    <row r="127" spans="1:11">
      <c r="A127" s="3">
        <v>1</v>
      </c>
      <c r="B127" s="4">
        <v>43447</v>
      </c>
      <c r="C127" s="3" t="s">
        <v>210</v>
      </c>
      <c r="D127" s="3">
        <v>4</v>
      </c>
      <c r="E127" s="3" t="s">
        <v>223</v>
      </c>
      <c r="F127" s="3" t="s">
        <v>224</v>
      </c>
      <c r="G127" s="3" t="s">
        <v>225</v>
      </c>
      <c r="H127" s="3" t="s">
        <v>226</v>
      </c>
      <c r="I127" s="3">
        <v>1</v>
      </c>
      <c r="J127" s="3">
        <v>3</v>
      </c>
    </row>
    <row r="128" spans="1:11">
      <c r="A128" s="3">
        <v>1</v>
      </c>
      <c r="B128" s="4">
        <v>43447</v>
      </c>
      <c r="C128" s="3" t="s">
        <v>210</v>
      </c>
      <c r="D128" s="3">
        <v>2</v>
      </c>
      <c r="E128" s="3" t="s">
        <v>63</v>
      </c>
      <c r="F128" s="3" t="s">
        <v>227</v>
      </c>
      <c r="G128" s="3" t="s">
        <v>228</v>
      </c>
      <c r="H128" s="3" t="s">
        <v>229</v>
      </c>
      <c r="I128" s="3">
        <v>1</v>
      </c>
      <c r="J128" s="3">
        <v>2</v>
      </c>
    </row>
    <row r="129" spans="1:11">
      <c r="A129" s="3">
        <v>1</v>
      </c>
      <c r="B129" s="4">
        <v>43447</v>
      </c>
      <c r="C129" s="3" t="s">
        <v>210</v>
      </c>
      <c r="D129" s="3">
        <v>4</v>
      </c>
      <c r="E129" s="3" t="s">
        <v>67</v>
      </c>
      <c r="F129" s="3" t="s">
        <v>68</v>
      </c>
      <c r="G129" s="3" t="s">
        <v>230</v>
      </c>
      <c r="H129" s="3" t="s">
        <v>231</v>
      </c>
      <c r="I129" s="3">
        <v>0</v>
      </c>
      <c r="J129" s="3">
        <v>5</v>
      </c>
      <c r="K129" s="3" t="s">
        <v>71</v>
      </c>
    </row>
    <row r="130" spans="1:11">
      <c r="A130" s="3">
        <v>1</v>
      </c>
      <c r="B130" s="4">
        <v>43447</v>
      </c>
      <c r="C130" s="3" t="s">
        <v>210</v>
      </c>
      <c r="D130" s="3">
        <v>4</v>
      </c>
      <c r="E130" s="3" t="s">
        <v>77</v>
      </c>
      <c r="F130" s="3" t="s">
        <v>78</v>
      </c>
      <c r="G130" s="3" t="s">
        <v>232</v>
      </c>
      <c r="H130" s="3" t="s">
        <v>233</v>
      </c>
      <c r="I130" s="3">
        <v>0</v>
      </c>
      <c r="J130" s="3">
        <v>5</v>
      </c>
      <c r="K130" s="3" t="s">
        <v>71</v>
      </c>
    </row>
    <row r="131" spans="1:11">
      <c r="A131" s="3">
        <v>1</v>
      </c>
      <c r="B131" s="4">
        <v>43434</v>
      </c>
      <c r="C131" s="3" t="s">
        <v>234</v>
      </c>
      <c r="D131" s="3">
        <v>4</v>
      </c>
      <c r="E131" s="3" t="s">
        <v>81</v>
      </c>
      <c r="F131" s="3" t="s">
        <v>82</v>
      </c>
      <c r="G131" s="3" t="s">
        <v>235</v>
      </c>
      <c r="H131" s="3" t="s">
        <v>236</v>
      </c>
      <c r="I131" s="3">
        <v>5</v>
      </c>
      <c r="J131" s="3">
        <v>4</v>
      </c>
    </row>
    <row r="132" spans="1:11">
      <c r="A132" s="3">
        <v>1</v>
      </c>
      <c r="B132" s="4">
        <v>43434</v>
      </c>
      <c r="C132" s="3" t="s">
        <v>234</v>
      </c>
      <c r="D132" s="3">
        <v>4</v>
      </c>
      <c r="E132" s="3" t="s">
        <v>44</v>
      </c>
      <c r="F132" s="3" t="s">
        <v>120</v>
      </c>
      <c r="G132" s="3" t="s">
        <v>121</v>
      </c>
      <c r="H132" s="3" t="s">
        <v>122</v>
      </c>
      <c r="I132" s="3">
        <v>4</v>
      </c>
      <c r="J132" s="3">
        <v>7</v>
      </c>
    </row>
    <row r="133" spans="1:11">
      <c r="A133" s="3">
        <v>1</v>
      </c>
      <c r="B133" s="4">
        <v>43434</v>
      </c>
      <c r="C133" s="3" t="s">
        <v>234</v>
      </c>
      <c r="D133" s="3">
        <v>2</v>
      </c>
      <c r="E133" s="3" t="s">
        <v>63</v>
      </c>
      <c r="F133" s="3" t="s">
        <v>167</v>
      </c>
      <c r="G133" s="3" t="s">
        <v>237</v>
      </c>
      <c r="H133" s="3" t="s">
        <v>238</v>
      </c>
      <c r="I133" s="3">
        <v>4</v>
      </c>
      <c r="J133" s="3">
        <v>4</v>
      </c>
    </row>
    <row r="134" spans="1:11">
      <c r="A134" s="3">
        <v>1</v>
      </c>
      <c r="B134" s="4">
        <v>43434</v>
      </c>
      <c r="C134" s="3" t="s">
        <v>234</v>
      </c>
      <c r="D134" s="3">
        <v>2</v>
      </c>
      <c r="E134" s="3" t="s">
        <v>84</v>
      </c>
      <c r="F134" s="3" t="s">
        <v>239</v>
      </c>
      <c r="G134" s="3" t="s">
        <v>240</v>
      </c>
      <c r="H134" s="3" t="s">
        <v>87</v>
      </c>
      <c r="I134" s="3">
        <v>4</v>
      </c>
      <c r="J134" s="3">
        <v>3</v>
      </c>
    </row>
    <row r="135" spans="1:11">
      <c r="A135" s="3">
        <v>1</v>
      </c>
      <c r="B135" s="4">
        <v>43434</v>
      </c>
      <c r="C135" s="3" t="s">
        <v>234</v>
      </c>
      <c r="D135" s="3">
        <v>3</v>
      </c>
      <c r="E135" s="3" t="s">
        <v>63</v>
      </c>
      <c r="F135" s="3" t="s">
        <v>241</v>
      </c>
      <c r="G135" s="3" t="s">
        <v>242</v>
      </c>
      <c r="H135" s="3" t="s">
        <v>243</v>
      </c>
      <c r="I135" s="3">
        <v>4</v>
      </c>
      <c r="J135" s="3">
        <v>2</v>
      </c>
    </row>
    <row r="136" spans="1:11">
      <c r="A136" s="3">
        <v>1</v>
      </c>
      <c r="B136" s="4">
        <v>43434</v>
      </c>
      <c r="C136" s="3" t="s">
        <v>234</v>
      </c>
      <c r="D136" s="3">
        <v>2</v>
      </c>
      <c r="E136" s="3" t="s">
        <v>63</v>
      </c>
      <c r="F136" s="3" t="s">
        <v>244</v>
      </c>
      <c r="G136" s="3" t="s">
        <v>245</v>
      </c>
      <c r="H136" s="3" t="s">
        <v>244</v>
      </c>
      <c r="I136" s="3">
        <v>4</v>
      </c>
      <c r="J136" s="3">
        <v>2</v>
      </c>
    </row>
    <row r="137" spans="1:11">
      <c r="A137" s="3">
        <v>1</v>
      </c>
      <c r="B137" s="4">
        <v>43434</v>
      </c>
      <c r="C137" s="3" t="s">
        <v>234</v>
      </c>
      <c r="D137" s="3">
        <v>4</v>
      </c>
      <c r="E137" s="3" t="s">
        <v>21</v>
      </c>
      <c r="F137" s="3" t="s">
        <v>22</v>
      </c>
      <c r="G137" s="3" t="s">
        <v>23</v>
      </c>
      <c r="H137" s="3" t="s">
        <v>24</v>
      </c>
      <c r="I137" s="3">
        <v>3</v>
      </c>
      <c r="J137" s="3">
        <v>6</v>
      </c>
    </row>
    <row r="138" spans="1:11">
      <c r="A138" s="3">
        <v>1</v>
      </c>
      <c r="B138" s="4">
        <v>43434</v>
      </c>
      <c r="C138" s="3" t="s">
        <v>234</v>
      </c>
      <c r="D138" s="3">
        <v>4</v>
      </c>
      <c r="E138" s="3" t="s">
        <v>109</v>
      </c>
      <c r="F138" s="3" t="s">
        <v>110</v>
      </c>
      <c r="G138" s="3" t="s">
        <v>111</v>
      </c>
      <c r="H138" s="3" t="s">
        <v>112</v>
      </c>
      <c r="I138" s="3">
        <v>3</v>
      </c>
      <c r="J138" s="3">
        <v>5</v>
      </c>
    </row>
    <row r="139" spans="1:11">
      <c r="A139" s="3">
        <v>1</v>
      </c>
      <c r="B139" s="4">
        <v>43434</v>
      </c>
      <c r="C139" s="3" t="s">
        <v>234</v>
      </c>
      <c r="D139" s="3">
        <v>4</v>
      </c>
      <c r="E139" s="3" t="s">
        <v>51</v>
      </c>
      <c r="F139" s="3" t="s">
        <v>52</v>
      </c>
      <c r="G139" s="3" t="s">
        <v>53</v>
      </c>
      <c r="H139" s="3" t="s">
        <v>54</v>
      </c>
      <c r="I139" s="3">
        <v>3</v>
      </c>
      <c r="J139" s="3">
        <v>4</v>
      </c>
    </row>
    <row r="140" spans="1:11">
      <c r="A140" s="3">
        <v>1</v>
      </c>
      <c r="B140" s="4">
        <v>43434</v>
      </c>
      <c r="C140" s="3" t="s">
        <v>234</v>
      </c>
      <c r="D140" s="3">
        <v>4</v>
      </c>
      <c r="E140" s="3" t="s">
        <v>145</v>
      </c>
      <c r="F140" s="3" t="s">
        <v>174</v>
      </c>
      <c r="G140" s="3" t="s">
        <v>175</v>
      </c>
      <c r="H140" s="3" t="s">
        <v>176</v>
      </c>
      <c r="I140" s="3">
        <v>3</v>
      </c>
      <c r="J140" s="3">
        <v>3</v>
      </c>
    </row>
    <row r="141" spans="1:11">
      <c r="A141" s="3">
        <v>1</v>
      </c>
      <c r="B141" s="4">
        <v>43434</v>
      </c>
      <c r="C141" s="3" t="s">
        <v>234</v>
      </c>
      <c r="D141" s="3">
        <v>2</v>
      </c>
      <c r="E141" s="3" t="s">
        <v>153</v>
      </c>
      <c r="F141" s="3" t="s">
        <v>154</v>
      </c>
      <c r="G141" s="3" t="s">
        <v>155</v>
      </c>
      <c r="H141" s="3" t="s">
        <v>156</v>
      </c>
      <c r="I141" s="3">
        <v>3</v>
      </c>
      <c r="J141" s="3">
        <v>1</v>
      </c>
    </row>
    <row r="142" spans="1:11">
      <c r="A142" s="3">
        <v>1</v>
      </c>
      <c r="B142" s="4">
        <v>43434</v>
      </c>
      <c r="C142" s="3" t="s">
        <v>234</v>
      </c>
      <c r="D142" s="3">
        <v>4</v>
      </c>
      <c r="E142" s="3" t="s">
        <v>55</v>
      </c>
      <c r="F142" s="3" t="s">
        <v>140</v>
      </c>
      <c r="G142" s="3" t="s">
        <v>141</v>
      </c>
      <c r="H142" s="3" t="s">
        <v>246</v>
      </c>
      <c r="I142" s="3">
        <v>2</v>
      </c>
      <c r="J142" s="3">
        <v>5</v>
      </c>
    </row>
    <row r="143" spans="1:11">
      <c r="A143" s="3">
        <v>1</v>
      </c>
      <c r="B143" s="4">
        <v>43434</v>
      </c>
      <c r="C143" s="3" t="s">
        <v>234</v>
      </c>
      <c r="D143" s="3">
        <v>4</v>
      </c>
      <c r="E143" s="3" t="s">
        <v>81</v>
      </c>
      <c r="F143" s="3" t="s">
        <v>82</v>
      </c>
      <c r="G143" s="3" t="s">
        <v>247</v>
      </c>
      <c r="H143" s="3" t="s">
        <v>248</v>
      </c>
      <c r="I143" s="3">
        <v>2</v>
      </c>
      <c r="J143" s="3">
        <v>5</v>
      </c>
    </row>
    <row r="144" spans="1:11">
      <c r="A144" s="3">
        <v>1</v>
      </c>
      <c r="B144" s="4">
        <v>43434</v>
      </c>
      <c r="C144" s="3" t="s">
        <v>234</v>
      </c>
      <c r="D144" s="3">
        <v>4</v>
      </c>
      <c r="E144" s="3" t="s">
        <v>25</v>
      </c>
      <c r="F144" s="3" t="s">
        <v>48</v>
      </c>
      <c r="G144" s="3" t="s">
        <v>49</v>
      </c>
      <c r="H144" s="3" t="s">
        <v>50</v>
      </c>
      <c r="I144" s="3">
        <v>2</v>
      </c>
      <c r="J144" s="3">
        <v>4</v>
      </c>
    </row>
    <row r="145" spans="1:10">
      <c r="A145" s="3">
        <v>1</v>
      </c>
      <c r="B145" s="4">
        <v>43434</v>
      </c>
      <c r="C145" s="3" t="s">
        <v>234</v>
      </c>
      <c r="D145" s="3">
        <v>2</v>
      </c>
      <c r="E145" s="3" t="s">
        <v>84</v>
      </c>
      <c r="F145" s="3" t="s">
        <v>85</v>
      </c>
      <c r="G145" s="3" t="s">
        <v>86</v>
      </c>
      <c r="H145" s="3" t="s">
        <v>87</v>
      </c>
      <c r="I145" s="3">
        <v>2</v>
      </c>
      <c r="J145" s="3">
        <v>4</v>
      </c>
    </row>
    <row r="146" spans="1:10">
      <c r="A146" s="3">
        <v>1</v>
      </c>
      <c r="B146" s="4">
        <v>43434</v>
      </c>
      <c r="C146" s="3" t="s">
        <v>234</v>
      </c>
      <c r="D146" s="3">
        <v>2</v>
      </c>
      <c r="E146" s="3" t="s">
        <v>55</v>
      </c>
      <c r="F146" s="3" t="s">
        <v>117</v>
      </c>
      <c r="G146" s="3" t="s">
        <v>118</v>
      </c>
      <c r="H146" s="3" t="s">
        <v>249</v>
      </c>
      <c r="I146" s="3">
        <v>2</v>
      </c>
      <c r="J146" s="3">
        <v>4</v>
      </c>
    </row>
    <row r="147" spans="1:10">
      <c r="A147" s="3">
        <v>1</v>
      </c>
      <c r="B147" s="4">
        <v>43434</v>
      </c>
      <c r="C147" s="3" t="s">
        <v>234</v>
      </c>
      <c r="D147" s="3">
        <v>4</v>
      </c>
      <c r="E147" s="3" t="s">
        <v>21</v>
      </c>
      <c r="F147" s="3" t="s">
        <v>72</v>
      </c>
      <c r="G147" s="3" t="s">
        <v>73</v>
      </c>
      <c r="H147" s="3" t="s">
        <v>74</v>
      </c>
      <c r="I147" s="3">
        <v>2</v>
      </c>
      <c r="J147" s="3">
        <v>4</v>
      </c>
    </row>
    <row r="148" spans="1:10">
      <c r="A148" s="3">
        <v>1</v>
      </c>
      <c r="B148" s="4">
        <v>43434</v>
      </c>
      <c r="C148" s="3" t="s">
        <v>234</v>
      </c>
      <c r="D148" s="3">
        <v>4</v>
      </c>
      <c r="E148" s="3" t="s">
        <v>124</v>
      </c>
      <c r="F148" s="3" t="s">
        <v>125</v>
      </c>
      <c r="G148" s="3" t="s">
        <v>126</v>
      </c>
      <c r="H148" s="3" t="s">
        <v>127</v>
      </c>
      <c r="I148" s="3">
        <v>2</v>
      </c>
      <c r="J148" s="3">
        <v>4</v>
      </c>
    </row>
    <row r="149" spans="1:10">
      <c r="A149" s="3">
        <v>1</v>
      </c>
      <c r="B149" s="4">
        <v>43434</v>
      </c>
      <c r="C149" s="3" t="s">
        <v>234</v>
      </c>
      <c r="D149" s="3">
        <v>4</v>
      </c>
      <c r="E149" s="3" t="s">
        <v>81</v>
      </c>
      <c r="F149" s="3" t="s">
        <v>82</v>
      </c>
      <c r="G149" s="3" t="s">
        <v>99</v>
      </c>
      <c r="H149" s="3" t="s">
        <v>100</v>
      </c>
      <c r="I149" s="3">
        <v>2</v>
      </c>
      <c r="J149" s="3">
        <v>4</v>
      </c>
    </row>
    <row r="150" spans="1:10">
      <c r="A150" s="3">
        <v>1</v>
      </c>
      <c r="B150" s="4">
        <v>43434</v>
      </c>
      <c r="C150" s="3" t="s">
        <v>234</v>
      </c>
      <c r="D150" s="3">
        <v>4</v>
      </c>
      <c r="E150" s="3" t="s">
        <v>44</v>
      </c>
      <c r="F150" s="3" t="s">
        <v>45</v>
      </c>
      <c r="G150" s="3" t="s">
        <v>46</v>
      </c>
      <c r="H150" s="3" t="s">
        <v>47</v>
      </c>
      <c r="I150" s="3">
        <v>2</v>
      </c>
      <c r="J150" s="3">
        <v>3</v>
      </c>
    </row>
    <row r="151" spans="1:10">
      <c r="A151" s="3">
        <v>1</v>
      </c>
      <c r="B151" s="4">
        <v>43434</v>
      </c>
      <c r="C151" s="3" t="s">
        <v>234</v>
      </c>
      <c r="D151" s="3">
        <v>2</v>
      </c>
      <c r="E151" s="3" t="s">
        <v>29</v>
      </c>
      <c r="F151" s="3" t="s">
        <v>30</v>
      </c>
      <c r="G151" s="3" t="s">
        <v>250</v>
      </c>
      <c r="H151" s="3" t="s">
        <v>251</v>
      </c>
      <c r="I151" s="3">
        <v>2</v>
      </c>
      <c r="J151" s="3">
        <v>2</v>
      </c>
    </row>
    <row r="152" spans="1:10">
      <c r="A152" s="3">
        <v>1</v>
      </c>
      <c r="B152" s="4">
        <v>43434</v>
      </c>
      <c r="C152" s="3" t="s">
        <v>234</v>
      </c>
      <c r="D152" s="3">
        <v>4</v>
      </c>
      <c r="E152" s="3" t="s">
        <v>67</v>
      </c>
      <c r="F152" s="3" t="s">
        <v>68</v>
      </c>
      <c r="G152" s="3" t="s">
        <v>69</v>
      </c>
      <c r="H152" s="3" t="s">
        <v>70</v>
      </c>
      <c r="I152" s="3">
        <v>1</v>
      </c>
      <c r="J152" s="3">
        <v>8</v>
      </c>
    </row>
    <row r="153" spans="1:10">
      <c r="A153" s="3">
        <v>1</v>
      </c>
      <c r="B153" s="4">
        <v>43434</v>
      </c>
      <c r="C153" s="3" t="s">
        <v>234</v>
      </c>
      <c r="D153" s="3">
        <v>4</v>
      </c>
      <c r="E153" s="3" t="s">
        <v>44</v>
      </c>
      <c r="F153" s="3" t="s">
        <v>45</v>
      </c>
      <c r="G153" s="3" t="s">
        <v>218</v>
      </c>
      <c r="H153" s="3" t="s">
        <v>219</v>
      </c>
      <c r="I153" s="3">
        <v>1</v>
      </c>
      <c r="J153" s="3">
        <v>7</v>
      </c>
    </row>
    <row r="154" spans="1:10">
      <c r="A154" s="3">
        <v>1</v>
      </c>
      <c r="B154" s="4">
        <v>43434</v>
      </c>
      <c r="C154" s="3" t="s">
        <v>234</v>
      </c>
      <c r="D154" s="3">
        <v>4</v>
      </c>
      <c r="E154" s="3" t="s">
        <v>25</v>
      </c>
      <c r="F154" s="3" t="s">
        <v>101</v>
      </c>
      <c r="G154" s="3" t="s">
        <v>102</v>
      </c>
      <c r="H154" s="3" t="s">
        <v>103</v>
      </c>
      <c r="I154" s="3">
        <v>1</v>
      </c>
      <c r="J154" s="3">
        <v>6</v>
      </c>
    </row>
    <row r="155" spans="1:10">
      <c r="A155" s="3">
        <v>1</v>
      </c>
      <c r="B155" s="4">
        <v>43434</v>
      </c>
      <c r="C155" s="3" t="s">
        <v>234</v>
      </c>
      <c r="D155" s="3">
        <v>3</v>
      </c>
      <c r="E155" s="3" t="s">
        <v>55</v>
      </c>
      <c r="F155" s="3" t="s">
        <v>164</v>
      </c>
      <c r="G155" s="3" t="s">
        <v>252</v>
      </c>
      <c r="H155" s="3" t="s">
        <v>253</v>
      </c>
      <c r="I155" s="3">
        <v>1</v>
      </c>
      <c r="J155" s="3">
        <v>4</v>
      </c>
    </row>
    <row r="156" spans="1:10">
      <c r="A156" s="3">
        <v>1</v>
      </c>
      <c r="B156" s="4">
        <v>43434</v>
      </c>
      <c r="C156" s="3" t="s">
        <v>234</v>
      </c>
      <c r="D156" s="3">
        <v>3</v>
      </c>
      <c r="E156" s="3" t="s">
        <v>160</v>
      </c>
      <c r="F156" s="3" t="s">
        <v>161</v>
      </c>
      <c r="G156" s="3" t="s">
        <v>254</v>
      </c>
      <c r="H156" s="3" t="s">
        <v>255</v>
      </c>
      <c r="I156" s="3">
        <v>1</v>
      </c>
      <c r="J156" s="3">
        <v>4</v>
      </c>
    </row>
    <row r="157" spans="1:10">
      <c r="A157" s="3">
        <v>1</v>
      </c>
      <c r="B157" s="4">
        <v>43434</v>
      </c>
      <c r="C157" s="3" t="s">
        <v>234</v>
      </c>
      <c r="D157" s="3">
        <v>4</v>
      </c>
      <c r="E157" s="3" t="s">
        <v>81</v>
      </c>
      <c r="F157" s="3" t="s">
        <v>82</v>
      </c>
      <c r="G157" s="3" t="s">
        <v>193</v>
      </c>
      <c r="H157" s="3" t="s">
        <v>194</v>
      </c>
      <c r="I157" s="3">
        <v>1</v>
      </c>
      <c r="J157" s="3">
        <v>4</v>
      </c>
    </row>
    <row r="158" spans="1:10">
      <c r="A158" s="3">
        <v>1</v>
      </c>
      <c r="B158" s="4">
        <v>43434</v>
      </c>
      <c r="C158" s="3" t="s">
        <v>234</v>
      </c>
      <c r="D158" s="3">
        <v>4</v>
      </c>
      <c r="E158" s="3" t="s">
        <v>55</v>
      </c>
      <c r="F158" s="3" t="s">
        <v>56</v>
      </c>
      <c r="G158" s="3" t="s">
        <v>57</v>
      </c>
      <c r="H158" s="3" t="s">
        <v>58</v>
      </c>
      <c r="I158" s="3">
        <v>1</v>
      </c>
      <c r="J158" s="3">
        <v>3</v>
      </c>
    </row>
    <row r="159" spans="1:10">
      <c r="A159" s="3">
        <v>1</v>
      </c>
      <c r="B159" s="4">
        <v>43434</v>
      </c>
      <c r="C159" s="3" t="s">
        <v>234</v>
      </c>
      <c r="D159" s="3">
        <v>4</v>
      </c>
      <c r="E159" s="3" t="s">
        <v>63</v>
      </c>
      <c r="F159" s="3" t="s">
        <v>256</v>
      </c>
      <c r="G159" s="3" t="s">
        <v>257</v>
      </c>
      <c r="H159" s="3" t="s">
        <v>258</v>
      </c>
      <c r="I159" s="3">
        <v>1</v>
      </c>
      <c r="J159" s="3">
        <v>2</v>
      </c>
    </row>
    <row r="160" spans="1:10">
      <c r="A160" s="3">
        <v>1</v>
      </c>
      <c r="B160" s="4">
        <v>43434</v>
      </c>
      <c r="C160" s="3" t="s">
        <v>234</v>
      </c>
      <c r="D160" s="3">
        <v>4</v>
      </c>
      <c r="E160" s="3" t="s">
        <v>170</v>
      </c>
      <c r="F160" s="3" t="s">
        <v>171</v>
      </c>
      <c r="G160" s="3" t="s">
        <v>172</v>
      </c>
      <c r="H160" s="3" t="s">
        <v>173</v>
      </c>
      <c r="I160" s="3">
        <v>1</v>
      </c>
      <c r="J160" s="3">
        <v>2</v>
      </c>
    </row>
    <row r="161" spans="1:14">
      <c r="A161" s="3">
        <v>1</v>
      </c>
      <c r="B161" s="4">
        <v>43434</v>
      </c>
      <c r="C161" s="3" t="s">
        <v>234</v>
      </c>
      <c r="D161" s="3">
        <v>4</v>
      </c>
      <c r="E161" s="3" t="s">
        <v>63</v>
      </c>
      <c r="F161" s="3" t="s">
        <v>128</v>
      </c>
      <c r="G161" s="3" t="s">
        <v>83</v>
      </c>
      <c r="H161" s="3" t="s">
        <v>130</v>
      </c>
      <c r="I161" s="3">
        <v>1</v>
      </c>
      <c r="J161" s="3">
        <v>2</v>
      </c>
    </row>
    <row r="162" spans="1:14">
      <c r="A162" s="3">
        <v>1</v>
      </c>
      <c r="B162" s="4">
        <v>43434</v>
      </c>
      <c r="C162" s="3" t="s">
        <v>234</v>
      </c>
      <c r="D162" s="3">
        <v>1</v>
      </c>
      <c r="E162" s="3" t="s">
        <v>75</v>
      </c>
      <c r="F162" s="3" t="s">
        <v>75</v>
      </c>
      <c r="G162" s="3" t="s">
        <v>259</v>
      </c>
      <c r="H162" s="3" t="s">
        <v>75</v>
      </c>
      <c r="I162" s="3">
        <v>1</v>
      </c>
      <c r="J162" s="3">
        <v>1</v>
      </c>
    </row>
    <row r="163" spans="1:14">
      <c r="A163" s="3">
        <v>1</v>
      </c>
      <c r="B163" s="4">
        <v>43434</v>
      </c>
      <c r="C163" s="3" t="s">
        <v>234</v>
      </c>
      <c r="D163" s="3">
        <v>3</v>
      </c>
      <c r="E163" s="3" t="s">
        <v>55</v>
      </c>
      <c r="F163" s="3" t="s">
        <v>137</v>
      </c>
      <c r="G163" s="3" t="s">
        <v>138</v>
      </c>
      <c r="H163" s="3" t="s">
        <v>139</v>
      </c>
      <c r="I163" s="3">
        <v>1</v>
      </c>
      <c r="J163" s="3">
        <v>1</v>
      </c>
    </row>
    <row r="164" spans="1:14">
      <c r="A164" s="3">
        <v>1</v>
      </c>
      <c r="B164" s="4">
        <v>43434</v>
      </c>
      <c r="C164" s="3" t="s">
        <v>234</v>
      </c>
      <c r="D164" s="3">
        <v>4</v>
      </c>
      <c r="E164" s="3" t="s">
        <v>205</v>
      </c>
      <c r="F164" s="3" t="s">
        <v>206</v>
      </c>
      <c r="G164" s="3" t="s">
        <v>207</v>
      </c>
      <c r="H164" s="3" t="s">
        <v>208</v>
      </c>
      <c r="I164" s="3">
        <v>1</v>
      </c>
      <c r="J164" s="3">
        <v>1</v>
      </c>
    </row>
    <row r="165" spans="1:14">
      <c r="A165" s="3">
        <v>1</v>
      </c>
      <c r="B165" s="4">
        <v>43434</v>
      </c>
      <c r="C165" s="3" t="s">
        <v>234</v>
      </c>
      <c r="D165" s="3">
        <v>4</v>
      </c>
      <c r="E165" s="3" t="s">
        <v>145</v>
      </c>
      <c r="F165" s="3" t="s">
        <v>146</v>
      </c>
      <c r="G165" s="3" t="s">
        <v>147</v>
      </c>
      <c r="H165" s="3" t="s">
        <v>148</v>
      </c>
      <c r="I165" s="3">
        <v>1</v>
      </c>
      <c r="J165" s="3">
        <v>1</v>
      </c>
    </row>
    <row r="166" spans="1:14">
      <c r="A166" s="3">
        <v>1</v>
      </c>
      <c r="B166" s="4">
        <v>43434</v>
      </c>
      <c r="C166" s="3" t="s">
        <v>234</v>
      </c>
      <c r="D166" s="3">
        <v>2</v>
      </c>
      <c r="E166" s="3" t="s">
        <v>25</v>
      </c>
      <c r="F166" s="3" t="s">
        <v>260</v>
      </c>
      <c r="G166" s="3" t="s">
        <v>261</v>
      </c>
      <c r="H166" s="3" t="s">
        <v>262</v>
      </c>
      <c r="I166" s="3">
        <v>1</v>
      </c>
      <c r="J166" s="3">
        <v>1</v>
      </c>
    </row>
    <row r="167" spans="1:14">
      <c r="A167" s="3">
        <v>1</v>
      </c>
      <c r="B167" s="4">
        <v>43434</v>
      </c>
      <c r="C167" s="3" t="s">
        <v>234</v>
      </c>
      <c r="D167" s="3">
        <v>4</v>
      </c>
      <c r="E167" s="3" t="s">
        <v>77</v>
      </c>
      <c r="F167" s="3" t="s">
        <v>78</v>
      </c>
      <c r="G167" s="3" t="s">
        <v>79</v>
      </c>
      <c r="H167" s="3" t="s">
        <v>80</v>
      </c>
      <c r="I167" s="3">
        <v>1</v>
      </c>
      <c r="J167" s="3">
        <v>1</v>
      </c>
    </row>
    <row r="168" spans="1:14">
      <c r="A168" s="3">
        <v>1</v>
      </c>
      <c r="B168" s="4">
        <v>43453</v>
      </c>
      <c r="C168" s="3" t="s">
        <v>263</v>
      </c>
      <c r="D168" s="3">
        <v>4</v>
      </c>
      <c r="E168" s="3" t="s">
        <v>25</v>
      </c>
      <c r="F168" s="3" t="s">
        <v>33</v>
      </c>
      <c r="G168" s="3" t="s">
        <v>34</v>
      </c>
      <c r="H168" s="3" t="s">
        <v>35</v>
      </c>
      <c r="I168" s="3">
        <v>5</v>
      </c>
      <c r="J168" s="3">
        <v>4</v>
      </c>
      <c r="N168" t="str">
        <f ca="1">IFERROR(__xludf.DUMMYFUNCTION("UNIQUE(T168:T276)"),"Phyllanthaceae")</f>
        <v>Phyllanthaceae</v>
      </c>
    </row>
    <row r="169" spans="1:14">
      <c r="A169" s="3">
        <v>1</v>
      </c>
      <c r="B169" s="4">
        <v>43453</v>
      </c>
      <c r="C169" s="3" t="s">
        <v>263</v>
      </c>
      <c r="D169" s="3">
        <v>1</v>
      </c>
      <c r="E169" s="3" t="s">
        <v>75</v>
      </c>
      <c r="F169" s="3" t="s">
        <v>75</v>
      </c>
      <c r="G169" s="3" t="s">
        <v>264</v>
      </c>
      <c r="H169" s="3" t="s">
        <v>75</v>
      </c>
      <c r="I169" s="3">
        <v>5</v>
      </c>
      <c r="J169" s="3">
        <v>2</v>
      </c>
      <c r="N169" t="str">
        <f ca="1">IFERROR(__xludf.DUMMYFUNCTION("""COMPUTED_VALUE"""),"Pinaceae")</f>
        <v>Pinaceae</v>
      </c>
    </row>
    <row r="170" spans="1:14">
      <c r="A170" s="3">
        <v>1</v>
      </c>
      <c r="B170" s="4">
        <v>43453</v>
      </c>
      <c r="C170" s="3" t="s">
        <v>263</v>
      </c>
      <c r="D170" s="3">
        <v>4</v>
      </c>
      <c r="E170" s="3" t="s">
        <v>21</v>
      </c>
      <c r="F170" s="3" t="s">
        <v>22</v>
      </c>
      <c r="G170" s="3" t="s">
        <v>23</v>
      </c>
      <c r="H170" s="3" t="s">
        <v>24</v>
      </c>
      <c r="I170" s="3">
        <v>4</v>
      </c>
      <c r="J170" s="3">
        <v>4</v>
      </c>
      <c r="N170" t="str">
        <f ca="1">IFERROR(__xludf.DUMMYFUNCTION("""COMPUTED_VALUE"""),"Poaceae")</f>
        <v>Poaceae</v>
      </c>
    </row>
    <row r="171" spans="1:14">
      <c r="A171" s="3">
        <v>1</v>
      </c>
      <c r="B171" s="4">
        <v>43453</v>
      </c>
      <c r="C171" s="3" t="s">
        <v>263</v>
      </c>
      <c r="D171" s="3">
        <v>4</v>
      </c>
      <c r="E171" s="3" t="s">
        <v>81</v>
      </c>
      <c r="F171" s="3" t="s">
        <v>82</v>
      </c>
      <c r="G171" s="3" t="s">
        <v>135</v>
      </c>
      <c r="H171" s="3" t="s">
        <v>136</v>
      </c>
      <c r="I171" s="3">
        <v>4</v>
      </c>
      <c r="J171" s="3">
        <v>4</v>
      </c>
      <c r="N171" t="str">
        <f ca="1">IFERROR(__xludf.DUMMYFUNCTION("""COMPUTED_VALUE"""),"Rosaceae")</f>
        <v>Rosaceae</v>
      </c>
    </row>
    <row r="172" spans="1:14">
      <c r="A172" s="3">
        <v>1</v>
      </c>
      <c r="B172" s="4">
        <v>43453</v>
      </c>
      <c r="C172" s="3" t="s">
        <v>263</v>
      </c>
      <c r="D172" s="3">
        <v>2</v>
      </c>
      <c r="E172" s="3" t="s">
        <v>84</v>
      </c>
      <c r="F172" s="3" t="s">
        <v>85</v>
      </c>
      <c r="G172" s="3" t="s">
        <v>86</v>
      </c>
      <c r="H172" s="3" t="s">
        <v>87</v>
      </c>
      <c r="I172" s="3">
        <v>4</v>
      </c>
      <c r="J172" s="3">
        <v>3</v>
      </c>
      <c r="N172" t="str">
        <f ca="1">IFERROR(__xludf.DUMMYFUNCTION("""COMPUTED_VALUE"""),"Rubiaceae")</f>
        <v>Rubiaceae</v>
      </c>
    </row>
    <row r="173" spans="1:14">
      <c r="A173" s="3">
        <v>1</v>
      </c>
      <c r="B173" s="4">
        <v>43453</v>
      </c>
      <c r="C173" s="3" t="s">
        <v>263</v>
      </c>
      <c r="D173" s="3">
        <v>4</v>
      </c>
      <c r="E173" s="3" t="s">
        <v>145</v>
      </c>
      <c r="F173" s="3" t="s">
        <v>174</v>
      </c>
      <c r="G173" s="3" t="s">
        <v>175</v>
      </c>
      <c r="H173" s="3" t="s">
        <v>176</v>
      </c>
      <c r="I173" s="3">
        <v>4</v>
      </c>
      <c r="J173" s="3">
        <v>1</v>
      </c>
      <c r="N173" t="str">
        <f ca="1">IFERROR(__xludf.DUMMYFUNCTION("""COMPUTED_VALUE"""),"Smilacaceae")</f>
        <v>Smilacaceae</v>
      </c>
    </row>
    <row r="174" spans="1:14">
      <c r="A174" s="3">
        <v>1</v>
      </c>
      <c r="B174" s="4">
        <v>43453</v>
      </c>
      <c r="C174" s="3" t="s">
        <v>263</v>
      </c>
      <c r="D174" s="3">
        <v>4</v>
      </c>
      <c r="E174" s="3" t="s">
        <v>160</v>
      </c>
      <c r="F174" s="3" t="s">
        <v>161</v>
      </c>
      <c r="G174" s="3" t="s">
        <v>162</v>
      </c>
      <c r="H174" s="3" t="s">
        <v>163</v>
      </c>
      <c r="I174" s="3">
        <v>3</v>
      </c>
      <c r="J174" s="3">
        <v>4</v>
      </c>
      <c r="N174" t="str">
        <f ca="1">IFERROR(__xludf.DUMMYFUNCTION("""COMPUTED_VALUE"""),"Solanaceae ")</f>
        <v xml:space="preserve">Solanaceae </v>
      </c>
    </row>
    <row r="175" spans="1:14">
      <c r="A175" s="3">
        <v>1</v>
      </c>
      <c r="B175" s="4">
        <v>43453</v>
      </c>
      <c r="C175" s="3" t="s">
        <v>263</v>
      </c>
      <c r="D175" s="3">
        <v>4</v>
      </c>
      <c r="E175" s="3" t="s">
        <v>81</v>
      </c>
      <c r="F175" s="3" t="s">
        <v>82</v>
      </c>
      <c r="G175" s="3" t="s">
        <v>99</v>
      </c>
      <c r="H175" s="3" t="s">
        <v>100</v>
      </c>
      <c r="I175" s="3">
        <v>3</v>
      </c>
      <c r="J175" s="3">
        <v>4</v>
      </c>
      <c r="N175" t="str">
        <f ca="1">IFERROR(__xludf.DUMMYFUNCTION("""COMPUTED_VALUE"""),"Verbanaceae")</f>
        <v>Verbanaceae</v>
      </c>
    </row>
    <row r="176" spans="1:14">
      <c r="A176" s="3">
        <v>1</v>
      </c>
      <c r="B176" s="4">
        <v>43453</v>
      </c>
      <c r="C176" s="3" t="s">
        <v>263</v>
      </c>
      <c r="D176" s="3">
        <v>3</v>
      </c>
      <c r="E176" s="3" t="s">
        <v>63</v>
      </c>
      <c r="F176" s="3" t="s">
        <v>128</v>
      </c>
      <c r="G176" s="3" t="s">
        <v>129</v>
      </c>
      <c r="H176" s="3" t="s">
        <v>130</v>
      </c>
      <c r="I176" s="3">
        <v>3</v>
      </c>
      <c r="J176" s="3">
        <v>2</v>
      </c>
      <c r="N176" t="str">
        <f ca="1">IFERROR(__xludf.DUMMYFUNCTION("""COMPUTED_VALUE"""),"Vitaceae")</f>
        <v>Vitaceae</v>
      </c>
    </row>
    <row r="177" spans="1:11">
      <c r="A177" s="3">
        <v>1</v>
      </c>
      <c r="B177" s="4">
        <v>43453</v>
      </c>
      <c r="C177" s="3" t="s">
        <v>263</v>
      </c>
      <c r="D177" s="3">
        <v>2</v>
      </c>
      <c r="E177" s="3" t="s">
        <v>63</v>
      </c>
      <c r="F177" s="3" t="s">
        <v>128</v>
      </c>
      <c r="G177" s="3" t="s">
        <v>214</v>
      </c>
      <c r="H177" s="3" t="s">
        <v>130</v>
      </c>
      <c r="I177" s="3">
        <v>3</v>
      </c>
      <c r="J177" s="3">
        <v>2</v>
      </c>
    </row>
    <row r="178" spans="1:11">
      <c r="A178" s="3">
        <v>1</v>
      </c>
      <c r="B178" s="4">
        <v>43453</v>
      </c>
      <c r="C178" s="3" t="s">
        <v>263</v>
      </c>
      <c r="D178" s="3">
        <v>4</v>
      </c>
      <c r="E178" s="3" t="s">
        <v>67</v>
      </c>
      <c r="F178" s="3" t="s">
        <v>68</v>
      </c>
      <c r="G178" s="3" t="s">
        <v>69</v>
      </c>
      <c r="H178" s="3" t="s">
        <v>70</v>
      </c>
      <c r="I178" s="3">
        <v>2</v>
      </c>
      <c r="J178" s="3">
        <v>7</v>
      </c>
      <c r="K178" s="3" t="s">
        <v>71</v>
      </c>
    </row>
    <row r="179" spans="1:11">
      <c r="A179" s="3">
        <v>1</v>
      </c>
      <c r="B179" s="4">
        <v>43453</v>
      </c>
      <c r="C179" s="3" t="s">
        <v>263</v>
      </c>
      <c r="D179" s="3">
        <v>4</v>
      </c>
      <c r="E179" s="3" t="s">
        <v>88</v>
      </c>
      <c r="F179" s="3" t="s">
        <v>89</v>
      </c>
      <c r="G179" s="3" t="s">
        <v>90</v>
      </c>
      <c r="H179" s="3" t="s">
        <v>91</v>
      </c>
      <c r="I179" s="3">
        <v>2</v>
      </c>
      <c r="J179" s="3">
        <v>6</v>
      </c>
    </row>
    <row r="180" spans="1:11">
      <c r="A180" s="3">
        <v>1</v>
      </c>
      <c r="B180" s="4">
        <v>43453</v>
      </c>
      <c r="C180" s="3" t="s">
        <v>263</v>
      </c>
      <c r="D180" s="3">
        <v>4</v>
      </c>
      <c r="E180" s="3" t="s">
        <v>77</v>
      </c>
      <c r="F180" s="3" t="s">
        <v>78</v>
      </c>
      <c r="G180" s="3" t="s">
        <v>232</v>
      </c>
      <c r="H180" s="3" t="s">
        <v>233</v>
      </c>
      <c r="I180" s="3">
        <v>2</v>
      </c>
      <c r="J180" s="3">
        <v>6</v>
      </c>
    </row>
    <row r="181" spans="1:11">
      <c r="A181" s="3">
        <v>1</v>
      </c>
      <c r="B181" s="4">
        <v>43453</v>
      </c>
      <c r="C181" s="3" t="s">
        <v>263</v>
      </c>
      <c r="D181" s="3">
        <v>2</v>
      </c>
      <c r="E181" s="3" t="s">
        <v>55</v>
      </c>
      <c r="F181" s="3" t="s">
        <v>117</v>
      </c>
      <c r="G181" s="3" t="s">
        <v>118</v>
      </c>
      <c r="H181" s="3" t="s">
        <v>119</v>
      </c>
      <c r="I181" s="3">
        <v>2</v>
      </c>
      <c r="J181" s="3">
        <v>4</v>
      </c>
    </row>
    <row r="182" spans="1:11">
      <c r="A182" s="3">
        <v>1</v>
      </c>
      <c r="B182" s="4">
        <v>43453</v>
      </c>
      <c r="C182" s="3" t="s">
        <v>263</v>
      </c>
      <c r="D182" s="3">
        <v>4</v>
      </c>
      <c r="E182" s="3" t="s">
        <v>55</v>
      </c>
      <c r="F182" s="3" t="s">
        <v>137</v>
      </c>
      <c r="G182" s="3" t="s">
        <v>138</v>
      </c>
      <c r="H182" s="3" t="s">
        <v>139</v>
      </c>
      <c r="I182" s="3">
        <v>2</v>
      </c>
      <c r="J182" s="3">
        <v>3</v>
      </c>
    </row>
    <row r="183" spans="1:11">
      <c r="A183" s="3">
        <v>1</v>
      </c>
      <c r="B183" s="4">
        <v>43453</v>
      </c>
      <c r="C183" s="3" t="s">
        <v>263</v>
      </c>
      <c r="D183" s="3">
        <v>4</v>
      </c>
      <c r="E183" s="3" t="s">
        <v>25</v>
      </c>
      <c r="F183" s="3" t="s">
        <v>48</v>
      </c>
      <c r="G183" s="3" t="s">
        <v>49</v>
      </c>
      <c r="H183" s="3" t="s">
        <v>50</v>
      </c>
      <c r="I183" s="3">
        <v>2</v>
      </c>
      <c r="J183" s="3">
        <v>3</v>
      </c>
    </row>
    <row r="184" spans="1:11">
      <c r="A184" s="3">
        <v>1</v>
      </c>
      <c r="B184" s="4">
        <v>43453</v>
      </c>
      <c r="C184" s="3" t="s">
        <v>263</v>
      </c>
      <c r="D184" s="3">
        <v>4</v>
      </c>
      <c r="E184" s="3" t="s">
        <v>21</v>
      </c>
      <c r="F184" s="3" t="s">
        <v>72</v>
      </c>
      <c r="G184" s="3" t="s">
        <v>73</v>
      </c>
      <c r="H184" s="3" t="s">
        <v>74</v>
      </c>
      <c r="I184" s="3">
        <v>2</v>
      </c>
      <c r="J184" s="3">
        <v>3</v>
      </c>
    </row>
    <row r="185" spans="1:11">
      <c r="A185" s="3">
        <v>1</v>
      </c>
      <c r="B185" s="4">
        <v>43453</v>
      </c>
      <c r="C185" s="3" t="s">
        <v>263</v>
      </c>
      <c r="D185" s="3">
        <v>4</v>
      </c>
      <c r="E185" s="3" t="s">
        <v>51</v>
      </c>
      <c r="F185" s="3" t="s">
        <v>52</v>
      </c>
      <c r="G185" s="3" t="s">
        <v>53</v>
      </c>
      <c r="H185" s="3" t="s">
        <v>54</v>
      </c>
      <c r="I185" s="3">
        <v>2</v>
      </c>
      <c r="J185" s="3">
        <v>3</v>
      </c>
    </row>
    <row r="186" spans="1:11">
      <c r="A186" s="3">
        <v>1</v>
      </c>
      <c r="B186" s="4">
        <v>43453</v>
      </c>
      <c r="C186" s="3" t="s">
        <v>263</v>
      </c>
      <c r="D186" s="3">
        <v>4</v>
      </c>
      <c r="E186" s="3" t="s">
        <v>44</v>
      </c>
      <c r="F186" s="3" t="s">
        <v>45</v>
      </c>
      <c r="G186" s="3" t="s">
        <v>46</v>
      </c>
      <c r="H186" s="3" t="s">
        <v>47</v>
      </c>
      <c r="I186" s="3">
        <v>1</v>
      </c>
      <c r="J186" s="3">
        <v>7</v>
      </c>
    </row>
    <row r="187" spans="1:11">
      <c r="A187" s="3">
        <v>1</v>
      </c>
      <c r="B187" s="4">
        <v>43453</v>
      </c>
      <c r="C187" s="3" t="s">
        <v>263</v>
      </c>
      <c r="D187" s="3">
        <v>4</v>
      </c>
      <c r="E187" s="3" t="s">
        <v>25</v>
      </c>
      <c r="F187" s="3" t="s">
        <v>101</v>
      </c>
      <c r="G187" s="3" t="s">
        <v>102</v>
      </c>
      <c r="H187" s="3" t="s">
        <v>103</v>
      </c>
      <c r="I187" s="3">
        <v>1</v>
      </c>
      <c r="J187" s="3">
        <v>4</v>
      </c>
    </row>
    <row r="188" spans="1:11">
      <c r="A188" s="3">
        <v>1</v>
      </c>
      <c r="B188" s="4">
        <v>43453</v>
      </c>
      <c r="C188" s="3" t="s">
        <v>263</v>
      </c>
      <c r="D188" s="3">
        <v>4</v>
      </c>
      <c r="E188" s="3" t="s">
        <v>205</v>
      </c>
      <c r="F188" s="3" t="s">
        <v>206</v>
      </c>
      <c r="G188" s="3" t="s">
        <v>207</v>
      </c>
      <c r="H188" s="3" t="s">
        <v>208</v>
      </c>
      <c r="I188" s="3">
        <v>1</v>
      </c>
      <c r="J188" s="3">
        <v>3</v>
      </c>
    </row>
    <row r="189" spans="1:11">
      <c r="A189" s="3">
        <v>1</v>
      </c>
      <c r="B189" s="4">
        <v>43453</v>
      </c>
      <c r="C189" s="3" t="s">
        <v>263</v>
      </c>
      <c r="D189" s="3">
        <v>4</v>
      </c>
      <c r="E189" s="3" t="s">
        <v>220</v>
      </c>
      <c r="F189" s="3" t="s">
        <v>199</v>
      </c>
      <c r="G189" s="3" t="s">
        <v>200</v>
      </c>
      <c r="H189" s="3" t="s">
        <v>201</v>
      </c>
      <c r="I189" s="3">
        <v>1</v>
      </c>
      <c r="J189" s="3">
        <v>3</v>
      </c>
    </row>
    <row r="190" spans="1:11">
      <c r="A190" s="3">
        <v>1</v>
      </c>
      <c r="B190" s="4">
        <v>43453</v>
      </c>
      <c r="C190" s="3" t="s">
        <v>263</v>
      </c>
      <c r="D190" s="3">
        <v>4</v>
      </c>
      <c r="E190" s="3" t="s">
        <v>63</v>
      </c>
      <c r="F190" s="3" t="s">
        <v>196</v>
      </c>
      <c r="G190" s="3" t="s">
        <v>197</v>
      </c>
      <c r="H190" s="3" t="s">
        <v>198</v>
      </c>
      <c r="I190" s="3">
        <v>1</v>
      </c>
      <c r="J190" s="3">
        <v>3</v>
      </c>
    </row>
    <row r="191" spans="1:11">
      <c r="A191" s="3">
        <v>1</v>
      </c>
      <c r="B191" s="4">
        <v>43453</v>
      </c>
      <c r="C191" s="3" t="s">
        <v>263</v>
      </c>
      <c r="D191" s="3">
        <v>4</v>
      </c>
      <c r="E191" s="3" t="s">
        <v>223</v>
      </c>
      <c r="F191" s="3" t="s">
        <v>224</v>
      </c>
      <c r="G191" s="3" t="s">
        <v>225</v>
      </c>
      <c r="H191" s="3" t="s">
        <v>226</v>
      </c>
      <c r="I191" s="3">
        <v>1</v>
      </c>
      <c r="J191" s="3">
        <v>3</v>
      </c>
    </row>
    <row r="192" spans="1:11">
      <c r="A192" s="3">
        <v>1</v>
      </c>
      <c r="B192" s="4">
        <v>43453</v>
      </c>
      <c r="C192" s="3" t="s">
        <v>263</v>
      </c>
      <c r="D192" s="3">
        <v>4</v>
      </c>
      <c r="E192" s="3" t="s">
        <v>21</v>
      </c>
      <c r="F192" s="3" t="s">
        <v>72</v>
      </c>
      <c r="G192" s="3" t="s">
        <v>265</v>
      </c>
      <c r="H192" s="3" t="s">
        <v>266</v>
      </c>
      <c r="I192" s="3">
        <v>1</v>
      </c>
      <c r="J192" s="3">
        <v>3</v>
      </c>
    </row>
    <row r="193" spans="1:10">
      <c r="A193" s="3">
        <v>1</v>
      </c>
      <c r="B193" s="4">
        <v>43453</v>
      </c>
      <c r="C193" s="3" t="s">
        <v>263</v>
      </c>
      <c r="D193" s="3">
        <v>4</v>
      </c>
      <c r="E193" s="3" t="s">
        <v>109</v>
      </c>
      <c r="F193" s="3" t="s">
        <v>110</v>
      </c>
      <c r="G193" s="3" t="s">
        <v>111</v>
      </c>
      <c r="H193" s="3" t="s">
        <v>112</v>
      </c>
      <c r="I193" s="3">
        <v>1</v>
      </c>
      <c r="J193" s="3">
        <v>3</v>
      </c>
    </row>
    <row r="194" spans="1:10">
      <c r="A194" s="3">
        <v>1</v>
      </c>
      <c r="B194" s="4">
        <v>43453</v>
      </c>
      <c r="C194" s="3" t="s">
        <v>263</v>
      </c>
      <c r="D194" s="3">
        <v>4</v>
      </c>
      <c r="E194" t="s">
        <v>124</v>
      </c>
      <c r="F194" s="3" t="s">
        <v>267</v>
      </c>
      <c r="G194" s="3" t="s">
        <v>268</v>
      </c>
      <c r="H194" s="3" t="s">
        <v>269</v>
      </c>
      <c r="I194" s="3">
        <v>1</v>
      </c>
      <c r="J194" s="3">
        <v>3</v>
      </c>
    </row>
    <row r="195" spans="1:10">
      <c r="A195" s="3">
        <v>1</v>
      </c>
      <c r="B195" s="4">
        <v>43453</v>
      </c>
      <c r="C195" s="3" t="s">
        <v>263</v>
      </c>
      <c r="D195" s="3">
        <v>2</v>
      </c>
      <c r="E195" s="3" t="s">
        <v>25</v>
      </c>
      <c r="F195" s="3" t="s">
        <v>26</v>
      </c>
      <c r="G195" s="3" t="s">
        <v>27</v>
      </c>
      <c r="H195" s="3" t="s">
        <v>28</v>
      </c>
      <c r="I195" s="3">
        <v>1</v>
      </c>
      <c r="J195" s="3">
        <v>3</v>
      </c>
    </row>
    <row r="196" spans="1:10">
      <c r="A196" s="3">
        <v>1</v>
      </c>
      <c r="B196" s="4">
        <v>43453</v>
      </c>
      <c r="C196" s="3" t="s">
        <v>263</v>
      </c>
      <c r="D196" s="3">
        <v>1</v>
      </c>
      <c r="E196" s="3" t="s">
        <v>75</v>
      </c>
      <c r="F196" s="3" t="s">
        <v>75</v>
      </c>
      <c r="G196" s="3" t="s">
        <v>270</v>
      </c>
      <c r="H196" s="3" t="s">
        <v>75</v>
      </c>
      <c r="I196" s="3">
        <v>1</v>
      </c>
      <c r="J196" s="3">
        <v>2</v>
      </c>
    </row>
    <row r="197" spans="1:10">
      <c r="A197" s="3">
        <v>1</v>
      </c>
      <c r="B197" s="4">
        <v>43453</v>
      </c>
      <c r="C197" s="3" t="s">
        <v>263</v>
      </c>
      <c r="D197" s="3">
        <v>3</v>
      </c>
      <c r="E197" s="3" t="s">
        <v>21</v>
      </c>
      <c r="F197" s="3" t="s">
        <v>271</v>
      </c>
      <c r="G197" s="3" t="s">
        <v>272</v>
      </c>
      <c r="H197" s="3" t="s">
        <v>273</v>
      </c>
      <c r="I197" s="3">
        <v>1</v>
      </c>
      <c r="J197" s="3">
        <v>2</v>
      </c>
    </row>
    <row r="198" spans="1:10">
      <c r="A198" s="3">
        <v>1</v>
      </c>
      <c r="B198" s="4">
        <v>43453</v>
      </c>
      <c r="C198" s="3" t="s">
        <v>263</v>
      </c>
      <c r="D198" s="3">
        <v>2</v>
      </c>
      <c r="E198" s="3" t="s">
        <v>55</v>
      </c>
      <c r="F198" s="3" t="s">
        <v>211</v>
      </c>
      <c r="G198" s="3" t="s">
        <v>212</v>
      </c>
      <c r="H198" s="3" t="s">
        <v>213</v>
      </c>
      <c r="I198" s="3">
        <v>1</v>
      </c>
      <c r="J198" s="3">
        <v>2</v>
      </c>
    </row>
    <row r="199" spans="1:10">
      <c r="A199" s="3">
        <v>1</v>
      </c>
      <c r="B199" s="4">
        <v>43453</v>
      </c>
      <c r="C199" s="3" t="s">
        <v>263</v>
      </c>
      <c r="D199" s="3">
        <v>3</v>
      </c>
      <c r="E199" s="3" t="s">
        <v>153</v>
      </c>
      <c r="F199" s="3" t="s">
        <v>154</v>
      </c>
      <c r="G199" s="3" t="s">
        <v>155</v>
      </c>
      <c r="H199" s="3" t="s">
        <v>156</v>
      </c>
      <c r="I199" s="3">
        <v>1</v>
      </c>
      <c r="J199" s="3">
        <v>2</v>
      </c>
    </row>
    <row r="200" spans="1:10">
      <c r="A200" s="3">
        <v>1</v>
      </c>
      <c r="B200" s="4">
        <v>43453</v>
      </c>
      <c r="C200" s="3" t="s">
        <v>263</v>
      </c>
      <c r="D200" s="3">
        <v>4</v>
      </c>
      <c r="E200" s="3" t="s">
        <v>44</v>
      </c>
      <c r="F200" s="3" t="s">
        <v>120</v>
      </c>
      <c r="G200" s="3" t="s">
        <v>121</v>
      </c>
      <c r="H200" s="3" t="s">
        <v>122</v>
      </c>
      <c r="I200" s="3">
        <v>1</v>
      </c>
      <c r="J200" s="3">
        <v>1</v>
      </c>
    </row>
    <row r="201" spans="1:10">
      <c r="A201" s="3">
        <v>1</v>
      </c>
      <c r="B201" s="4">
        <v>43453</v>
      </c>
      <c r="C201" s="3" t="s">
        <v>263</v>
      </c>
      <c r="D201" s="3">
        <v>4</v>
      </c>
      <c r="E201" s="3" t="s">
        <v>77</v>
      </c>
      <c r="F201" s="3" t="s">
        <v>78</v>
      </c>
      <c r="G201" s="3" t="s">
        <v>79</v>
      </c>
      <c r="H201" s="3" t="s">
        <v>80</v>
      </c>
      <c r="I201" s="3">
        <v>0</v>
      </c>
      <c r="J201" s="3">
        <v>6</v>
      </c>
    </row>
    <row r="202" spans="1:10">
      <c r="A202" s="3">
        <v>1</v>
      </c>
      <c r="B202" s="4">
        <v>43447</v>
      </c>
      <c r="C202" s="3" t="s">
        <v>274</v>
      </c>
      <c r="D202" s="3">
        <v>2</v>
      </c>
      <c r="E202" s="3" t="s">
        <v>81</v>
      </c>
      <c r="F202" s="3" t="s">
        <v>82</v>
      </c>
      <c r="G202" s="3" t="s">
        <v>235</v>
      </c>
      <c r="H202" s="3" t="s">
        <v>236</v>
      </c>
      <c r="I202" s="3">
        <v>5</v>
      </c>
      <c r="J202" s="3">
        <v>4</v>
      </c>
    </row>
    <row r="203" spans="1:10">
      <c r="A203" s="3">
        <v>1</v>
      </c>
      <c r="B203" s="4">
        <v>43447</v>
      </c>
      <c r="C203" s="3" t="s">
        <v>274</v>
      </c>
      <c r="D203" s="3">
        <v>2</v>
      </c>
      <c r="E203" s="3" t="s">
        <v>84</v>
      </c>
      <c r="F203" s="3" t="s">
        <v>85</v>
      </c>
      <c r="G203" s="3" t="s">
        <v>275</v>
      </c>
      <c r="H203" s="3" t="s">
        <v>276</v>
      </c>
      <c r="I203" s="3">
        <v>5</v>
      </c>
      <c r="J203" s="3">
        <v>3</v>
      </c>
    </row>
    <row r="204" spans="1:10">
      <c r="A204" s="3">
        <v>1</v>
      </c>
      <c r="B204" s="4">
        <v>43447</v>
      </c>
      <c r="C204" s="3" t="s">
        <v>274</v>
      </c>
      <c r="D204" s="3">
        <v>4</v>
      </c>
      <c r="E204" s="3" t="s">
        <v>81</v>
      </c>
      <c r="F204" s="3" t="s">
        <v>82</v>
      </c>
      <c r="G204" s="3" t="s">
        <v>99</v>
      </c>
      <c r="H204" s="3" t="s">
        <v>100</v>
      </c>
      <c r="I204" s="3">
        <v>4</v>
      </c>
      <c r="J204" s="3">
        <v>5</v>
      </c>
    </row>
    <row r="205" spans="1:10">
      <c r="A205" s="3">
        <v>1</v>
      </c>
      <c r="B205" s="4">
        <v>43447</v>
      </c>
      <c r="C205" s="3" t="s">
        <v>274</v>
      </c>
      <c r="D205" s="3">
        <v>4</v>
      </c>
      <c r="E205" s="3" t="s">
        <v>51</v>
      </c>
      <c r="F205" s="3" t="s">
        <v>52</v>
      </c>
      <c r="G205" s="3" t="s">
        <v>53</v>
      </c>
      <c r="H205" s="3" t="s">
        <v>54</v>
      </c>
      <c r="I205" s="3">
        <v>3</v>
      </c>
      <c r="J205" s="3">
        <v>6</v>
      </c>
    </row>
    <row r="206" spans="1:10">
      <c r="A206" s="3">
        <v>1</v>
      </c>
      <c r="B206" s="4">
        <v>43447</v>
      </c>
      <c r="C206" s="3" t="s">
        <v>274</v>
      </c>
      <c r="D206" s="3">
        <v>4</v>
      </c>
      <c r="E206" s="3" t="s">
        <v>81</v>
      </c>
      <c r="F206" s="3" t="s">
        <v>82</v>
      </c>
      <c r="G206" s="3" t="s">
        <v>135</v>
      </c>
      <c r="H206" s="3" t="s">
        <v>136</v>
      </c>
      <c r="I206" s="3">
        <v>3</v>
      </c>
      <c r="J206" s="3">
        <v>6</v>
      </c>
    </row>
    <row r="207" spans="1:10">
      <c r="A207" s="3">
        <v>1</v>
      </c>
      <c r="B207" s="4">
        <v>43447</v>
      </c>
      <c r="C207" s="3" t="s">
        <v>274</v>
      </c>
      <c r="D207" s="3">
        <v>4</v>
      </c>
      <c r="E207" s="3" t="s">
        <v>77</v>
      </c>
      <c r="F207" s="3" t="s">
        <v>78</v>
      </c>
      <c r="G207" s="3" t="s">
        <v>79</v>
      </c>
      <c r="H207" s="3" t="s">
        <v>80</v>
      </c>
      <c r="I207" s="3">
        <v>3</v>
      </c>
      <c r="J207" s="3">
        <v>4</v>
      </c>
    </row>
    <row r="208" spans="1:10">
      <c r="A208" s="3">
        <v>1</v>
      </c>
      <c r="B208" s="4">
        <v>43447</v>
      </c>
      <c r="C208" s="3" t="s">
        <v>274</v>
      </c>
      <c r="D208" s="3">
        <v>3</v>
      </c>
      <c r="E208" s="3" t="s">
        <v>55</v>
      </c>
      <c r="F208" s="3" t="s">
        <v>117</v>
      </c>
      <c r="G208" s="3" t="s">
        <v>118</v>
      </c>
      <c r="H208" s="3" t="s">
        <v>119</v>
      </c>
      <c r="I208" s="3">
        <v>3</v>
      </c>
      <c r="J208" s="3">
        <v>3</v>
      </c>
    </row>
    <row r="209" spans="1:10">
      <c r="A209" s="3">
        <v>1</v>
      </c>
      <c r="B209" s="4">
        <v>43447</v>
      </c>
      <c r="C209" s="3" t="s">
        <v>274</v>
      </c>
      <c r="D209" s="3">
        <v>4</v>
      </c>
      <c r="E209" s="3" t="s">
        <v>21</v>
      </c>
      <c r="F209" s="3" t="s">
        <v>72</v>
      </c>
      <c r="G209" s="3" t="s">
        <v>73</v>
      </c>
      <c r="H209" s="3" t="s">
        <v>74</v>
      </c>
      <c r="I209" s="3">
        <v>3</v>
      </c>
      <c r="J209" s="3">
        <v>3</v>
      </c>
    </row>
    <row r="210" spans="1:10">
      <c r="A210" s="3">
        <v>1</v>
      </c>
      <c r="B210" s="4">
        <v>43447</v>
      </c>
      <c r="C210" s="3" t="s">
        <v>274</v>
      </c>
      <c r="D210" s="3">
        <v>1</v>
      </c>
      <c r="E210" s="3" t="s">
        <v>75</v>
      </c>
      <c r="F210" s="3" t="s">
        <v>75</v>
      </c>
      <c r="G210" s="3" t="s">
        <v>277</v>
      </c>
      <c r="H210" s="3" t="s">
        <v>75</v>
      </c>
      <c r="I210" s="3">
        <v>3</v>
      </c>
      <c r="J210" s="3">
        <v>2</v>
      </c>
    </row>
    <row r="211" spans="1:10">
      <c r="A211" s="3">
        <v>1</v>
      </c>
      <c r="B211" s="4">
        <v>43447</v>
      </c>
      <c r="C211" s="3" t="s">
        <v>274</v>
      </c>
      <c r="D211" s="3">
        <v>4</v>
      </c>
      <c r="E211" s="3" t="s">
        <v>44</v>
      </c>
      <c r="F211" s="3" t="s">
        <v>45</v>
      </c>
      <c r="G211" s="3" t="s">
        <v>218</v>
      </c>
      <c r="H211" s="3" t="s">
        <v>219</v>
      </c>
      <c r="I211" s="3">
        <v>2</v>
      </c>
      <c r="J211" s="3">
        <v>7</v>
      </c>
    </row>
    <row r="212" spans="1:10">
      <c r="A212" s="3">
        <v>1</v>
      </c>
      <c r="B212" s="4">
        <v>43447</v>
      </c>
      <c r="C212" s="3" t="s">
        <v>274</v>
      </c>
      <c r="D212" s="3">
        <v>4</v>
      </c>
      <c r="E212" s="3" t="s">
        <v>25</v>
      </c>
      <c r="F212" s="3" t="s">
        <v>48</v>
      </c>
      <c r="G212" s="3" t="s">
        <v>49</v>
      </c>
      <c r="H212" s="3" t="s">
        <v>50</v>
      </c>
      <c r="I212" s="3">
        <v>2</v>
      </c>
      <c r="J212" s="3">
        <v>5</v>
      </c>
    </row>
    <row r="213" spans="1:10">
      <c r="A213" s="3">
        <v>1</v>
      </c>
      <c r="B213" s="4">
        <v>43447</v>
      </c>
      <c r="C213" s="3" t="s">
        <v>274</v>
      </c>
      <c r="D213" s="3">
        <v>4</v>
      </c>
      <c r="E213" s="3" t="s">
        <v>25</v>
      </c>
      <c r="F213" s="3" t="s">
        <v>101</v>
      </c>
      <c r="G213" s="3" t="s">
        <v>102</v>
      </c>
      <c r="H213" s="3" t="s">
        <v>103</v>
      </c>
      <c r="I213" s="3">
        <v>2</v>
      </c>
      <c r="J213" s="3">
        <v>4</v>
      </c>
    </row>
    <row r="214" spans="1:10">
      <c r="A214" s="3">
        <v>1</v>
      </c>
      <c r="B214" s="4">
        <v>43447</v>
      </c>
      <c r="C214" s="3" t="s">
        <v>274</v>
      </c>
      <c r="D214" s="3">
        <v>4</v>
      </c>
      <c r="E214" s="3" t="s">
        <v>40</v>
      </c>
      <c r="F214" s="3" t="s">
        <v>199</v>
      </c>
      <c r="G214" s="3" t="s">
        <v>200</v>
      </c>
      <c r="H214" s="3" t="s">
        <v>201</v>
      </c>
      <c r="I214" s="3">
        <v>2</v>
      </c>
      <c r="J214" s="3">
        <v>4</v>
      </c>
    </row>
    <row r="215" spans="1:10">
      <c r="A215" s="3">
        <v>1</v>
      </c>
      <c r="B215" s="4">
        <v>43447</v>
      </c>
      <c r="C215" s="3" t="s">
        <v>274</v>
      </c>
      <c r="D215" s="3">
        <v>4</v>
      </c>
      <c r="E215" s="3" t="s">
        <v>63</v>
      </c>
      <c r="F215" s="3" t="s">
        <v>167</v>
      </c>
      <c r="G215" s="3" t="s">
        <v>168</v>
      </c>
      <c r="H215" s="3" t="s">
        <v>169</v>
      </c>
      <c r="I215" s="3">
        <v>2</v>
      </c>
      <c r="J215" s="3">
        <v>4</v>
      </c>
    </row>
    <row r="216" spans="1:10">
      <c r="A216" s="3">
        <v>1</v>
      </c>
      <c r="B216" s="4">
        <v>43447</v>
      </c>
      <c r="C216" s="3" t="s">
        <v>274</v>
      </c>
      <c r="D216" s="3">
        <v>4</v>
      </c>
      <c r="E216" s="3" t="s">
        <v>21</v>
      </c>
      <c r="F216" s="3" t="s">
        <v>22</v>
      </c>
      <c r="G216" s="3" t="s">
        <v>23</v>
      </c>
      <c r="H216" s="3" t="s">
        <v>24</v>
      </c>
      <c r="I216" s="3">
        <v>2</v>
      </c>
      <c r="J216" s="3">
        <v>4</v>
      </c>
    </row>
    <row r="217" spans="1:10">
      <c r="A217" s="3">
        <v>1</v>
      </c>
      <c r="B217" s="4">
        <v>43447</v>
      </c>
      <c r="C217" s="3" t="s">
        <v>274</v>
      </c>
      <c r="D217" s="3">
        <v>2</v>
      </c>
      <c r="E217" s="3" t="s">
        <v>25</v>
      </c>
      <c r="F217" s="3" t="s">
        <v>26</v>
      </c>
      <c r="G217" s="3" t="s">
        <v>27</v>
      </c>
      <c r="H217" s="3" t="s">
        <v>28</v>
      </c>
      <c r="I217" s="3">
        <v>2</v>
      </c>
      <c r="J217" s="3">
        <v>4</v>
      </c>
    </row>
    <row r="218" spans="1:10">
      <c r="A218" s="3">
        <v>1</v>
      </c>
      <c r="B218" s="4">
        <v>43447</v>
      </c>
      <c r="C218" s="3" t="s">
        <v>274</v>
      </c>
      <c r="D218" s="3">
        <v>2</v>
      </c>
      <c r="E218" s="3" t="s">
        <v>55</v>
      </c>
      <c r="F218" s="3" t="s">
        <v>211</v>
      </c>
      <c r="G218" s="3" t="s">
        <v>212</v>
      </c>
      <c r="H218" s="3" t="s">
        <v>213</v>
      </c>
      <c r="I218" s="3">
        <v>2</v>
      </c>
      <c r="J218" s="3">
        <v>3</v>
      </c>
    </row>
    <row r="219" spans="1:10">
      <c r="A219" s="3">
        <v>1</v>
      </c>
      <c r="B219" s="4">
        <v>43447</v>
      </c>
      <c r="C219" s="3" t="s">
        <v>274</v>
      </c>
      <c r="D219" s="3">
        <v>4</v>
      </c>
      <c r="E219" s="3" t="s">
        <v>109</v>
      </c>
      <c r="F219" s="3" t="s">
        <v>110</v>
      </c>
      <c r="G219" s="3" t="s">
        <v>111</v>
      </c>
      <c r="H219" s="3" t="s">
        <v>112</v>
      </c>
      <c r="I219" s="3">
        <v>2</v>
      </c>
      <c r="J219" s="3">
        <v>3</v>
      </c>
    </row>
    <row r="220" spans="1:10">
      <c r="A220" s="3">
        <v>1</v>
      </c>
      <c r="B220" s="4">
        <v>43447</v>
      </c>
      <c r="C220" s="3" t="s">
        <v>274</v>
      </c>
      <c r="D220" s="3">
        <v>3</v>
      </c>
      <c r="E220" s="3" t="s">
        <v>153</v>
      </c>
      <c r="F220" s="3" t="s">
        <v>154</v>
      </c>
      <c r="G220" s="3" t="s">
        <v>155</v>
      </c>
      <c r="H220" s="3" t="s">
        <v>156</v>
      </c>
      <c r="I220" s="3">
        <v>2</v>
      </c>
      <c r="J220" s="3">
        <v>2</v>
      </c>
    </row>
    <row r="221" spans="1:10">
      <c r="A221" s="3">
        <v>1</v>
      </c>
      <c r="B221" s="4">
        <v>43447</v>
      </c>
      <c r="C221" s="3" t="s">
        <v>274</v>
      </c>
      <c r="D221" s="3">
        <v>2</v>
      </c>
      <c r="E221" s="3" t="s">
        <v>63</v>
      </c>
      <c r="F221" s="3" t="s">
        <v>244</v>
      </c>
      <c r="G221" s="3" t="s">
        <v>245</v>
      </c>
      <c r="H221" s="3" t="s">
        <v>244</v>
      </c>
      <c r="I221" s="3">
        <v>2</v>
      </c>
      <c r="J221" s="3">
        <v>2</v>
      </c>
    </row>
    <row r="222" spans="1:10">
      <c r="A222" s="3">
        <v>1</v>
      </c>
      <c r="B222" s="4">
        <v>43447</v>
      </c>
      <c r="C222" s="3" t="s">
        <v>274</v>
      </c>
      <c r="D222" s="3">
        <v>2</v>
      </c>
      <c r="E222" s="3" t="s">
        <v>185</v>
      </c>
      <c r="F222" s="3" t="s">
        <v>186</v>
      </c>
      <c r="G222" s="3" t="s">
        <v>187</v>
      </c>
      <c r="H222" s="3" t="s">
        <v>188</v>
      </c>
      <c r="I222" s="3">
        <v>1</v>
      </c>
      <c r="J222" s="3">
        <v>3</v>
      </c>
    </row>
    <row r="223" spans="1:10">
      <c r="A223" s="3">
        <v>1</v>
      </c>
      <c r="B223" s="4">
        <v>43447</v>
      </c>
      <c r="C223" s="3" t="s">
        <v>274</v>
      </c>
      <c r="D223" s="3">
        <v>4</v>
      </c>
      <c r="E223" s="3" t="s">
        <v>124</v>
      </c>
      <c r="F223" s="3" t="s">
        <v>125</v>
      </c>
      <c r="G223" s="3" t="s">
        <v>126</v>
      </c>
      <c r="H223" s="3" t="s">
        <v>127</v>
      </c>
      <c r="I223" s="3">
        <v>1</v>
      </c>
      <c r="J223" s="3">
        <v>3</v>
      </c>
    </row>
    <row r="224" spans="1:10">
      <c r="A224" s="3">
        <v>1</v>
      </c>
      <c r="B224" s="4">
        <v>43447</v>
      </c>
      <c r="C224" s="3" t="s">
        <v>274</v>
      </c>
      <c r="D224" s="3">
        <v>2</v>
      </c>
      <c r="E224" s="3" t="s">
        <v>84</v>
      </c>
      <c r="F224" s="3" t="s">
        <v>85</v>
      </c>
      <c r="G224" s="3" t="s">
        <v>86</v>
      </c>
      <c r="H224" s="3" t="s">
        <v>87</v>
      </c>
      <c r="I224" s="3">
        <v>1</v>
      </c>
      <c r="J224" s="3">
        <v>2</v>
      </c>
    </row>
    <row r="225" spans="1:10">
      <c r="A225" s="3">
        <v>1</v>
      </c>
      <c r="B225" s="4">
        <v>43447</v>
      </c>
      <c r="C225" s="3" t="s">
        <v>274</v>
      </c>
      <c r="D225" s="3">
        <v>4</v>
      </c>
      <c r="E225" s="3" t="s">
        <v>77</v>
      </c>
      <c r="F225" s="3" t="s">
        <v>78</v>
      </c>
      <c r="G225" s="3" t="s">
        <v>232</v>
      </c>
      <c r="H225" s="3" t="s">
        <v>233</v>
      </c>
      <c r="I225" s="3">
        <v>0</v>
      </c>
      <c r="J225" s="3">
        <v>6</v>
      </c>
    </row>
    <row r="226" spans="1:10">
      <c r="A226" s="3">
        <v>1</v>
      </c>
      <c r="B226" s="4">
        <v>43447</v>
      </c>
      <c r="C226" s="3" t="s">
        <v>274</v>
      </c>
      <c r="D226" s="3">
        <v>4</v>
      </c>
      <c r="E226" s="3" t="s">
        <v>67</v>
      </c>
      <c r="F226" s="3" t="s">
        <v>68</v>
      </c>
      <c r="G226" s="3" t="s">
        <v>69</v>
      </c>
      <c r="H226" s="3" t="s">
        <v>70</v>
      </c>
      <c r="I226" s="3">
        <v>0</v>
      </c>
      <c r="J226" s="3">
        <v>5</v>
      </c>
    </row>
    <row r="227" spans="1:10">
      <c r="A227" s="3">
        <v>1</v>
      </c>
      <c r="B227" s="4">
        <v>43447</v>
      </c>
      <c r="C227" s="3" t="s">
        <v>274</v>
      </c>
      <c r="D227" s="3">
        <v>4</v>
      </c>
      <c r="E227" s="3" t="s">
        <v>67</v>
      </c>
      <c r="F227" s="3" t="s">
        <v>68</v>
      </c>
      <c r="G227" s="3" t="s">
        <v>230</v>
      </c>
      <c r="H227" s="3" t="s">
        <v>231</v>
      </c>
      <c r="I227" s="3">
        <v>0</v>
      </c>
      <c r="J227" s="3">
        <v>5</v>
      </c>
    </row>
    <row r="228" spans="1:10">
      <c r="A228" s="3">
        <v>1</v>
      </c>
      <c r="B228" s="4">
        <v>43447</v>
      </c>
      <c r="C228" s="3" t="s">
        <v>274</v>
      </c>
      <c r="D228" s="3">
        <v>4</v>
      </c>
      <c r="E228" s="3" t="s">
        <v>77</v>
      </c>
      <c r="F228" s="3" t="s">
        <v>78</v>
      </c>
      <c r="G228" s="3" t="s">
        <v>278</v>
      </c>
      <c r="H228" s="3" t="s">
        <v>279</v>
      </c>
      <c r="I228" s="3">
        <v>0</v>
      </c>
      <c r="J228" s="3">
        <v>4</v>
      </c>
    </row>
    <row r="229" spans="1:10">
      <c r="A229" s="3">
        <v>1</v>
      </c>
      <c r="B229" s="4">
        <v>43453</v>
      </c>
      <c r="C229" s="3" t="s">
        <v>280</v>
      </c>
      <c r="D229" s="3">
        <v>4</v>
      </c>
      <c r="E229" s="3" t="s">
        <v>81</v>
      </c>
      <c r="F229" s="3" t="s">
        <v>82</v>
      </c>
      <c r="G229" s="3" t="s">
        <v>135</v>
      </c>
      <c r="H229" s="3" t="s">
        <v>136</v>
      </c>
      <c r="I229" s="3">
        <v>5</v>
      </c>
      <c r="J229" s="3">
        <v>6</v>
      </c>
    </row>
    <row r="230" spans="1:10">
      <c r="A230" s="3">
        <v>1</v>
      </c>
      <c r="B230" s="4">
        <v>43453</v>
      </c>
      <c r="C230" s="3" t="s">
        <v>280</v>
      </c>
      <c r="D230" s="3">
        <v>4</v>
      </c>
      <c r="E230" s="3" t="s">
        <v>55</v>
      </c>
      <c r="F230" s="3" t="s">
        <v>164</v>
      </c>
      <c r="G230" s="3" t="s">
        <v>281</v>
      </c>
      <c r="H230" s="3" t="s">
        <v>282</v>
      </c>
      <c r="I230" s="3">
        <v>4</v>
      </c>
      <c r="J230" s="3">
        <v>6</v>
      </c>
    </row>
    <row r="231" spans="1:10">
      <c r="A231" s="3">
        <v>1</v>
      </c>
      <c r="B231" s="4">
        <v>43453</v>
      </c>
      <c r="C231" s="3" t="s">
        <v>280</v>
      </c>
      <c r="D231" s="3">
        <v>2</v>
      </c>
      <c r="E231" s="3" t="s">
        <v>55</v>
      </c>
      <c r="F231" s="3" t="s">
        <v>117</v>
      </c>
      <c r="G231" s="3" t="s">
        <v>118</v>
      </c>
      <c r="H231" s="3" t="s">
        <v>119</v>
      </c>
      <c r="I231" s="3">
        <v>4</v>
      </c>
      <c r="J231" s="3">
        <v>4</v>
      </c>
    </row>
    <row r="232" spans="1:10">
      <c r="A232" s="3">
        <v>1</v>
      </c>
      <c r="B232" s="4">
        <v>43453</v>
      </c>
      <c r="C232" s="3" t="s">
        <v>280</v>
      </c>
      <c r="D232" s="3">
        <v>3</v>
      </c>
      <c r="E232" s="3" t="s">
        <v>63</v>
      </c>
      <c r="F232" s="3" t="s">
        <v>128</v>
      </c>
      <c r="G232" s="3" t="s">
        <v>129</v>
      </c>
      <c r="H232" s="3" t="s">
        <v>130</v>
      </c>
      <c r="I232" s="3">
        <v>4</v>
      </c>
      <c r="J232" s="3">
        <v>2</v>
      </c>
    </row>
    <row r="233" spans="1:10">
      <c r="A233" s="3">
        <v>1</v>
      </c>
      <c r="B233" s="4">
        <v>43453</v>
      </c>
      <c r="C233" s="3" t="s">
        <v>280</v>
      </c>
      <c r="D233" s="3">
        <v>2</v>
      </c>
      <c r="E233" s="3" t="s">
        <v>55</v>
      </c>
      <c r="F233" s="3" t="s">
        <v>211</v>
      </c>
      <c r="G233" s="3" t="s">
        <v>212</v>
      </c>
      <c r="H233" s="3" t="s">
        <v>213</v>
      </c>
      <c r="I233" s="3">
        <v>3</v>
      </c>
      <c r="J233" s="3">
        <v>8</v>
      </c>
    </row>
    <row r="234" spans="1:10">
      <c r="A234" s="3">
        <v>1</v>
      </c>
      <c r="B234" s="4">
        <v>43453</v>
      </c>
      <c r="C234" s="3" t="s">
        <v>280</v>
      </c>
      <c r="D234" s="3">
        <v>4</v>
      </c>
      <c r="E234" s="3" t="s">
        <v>109</v>
      </c>
      <c r="F234" s="3" t="s">
        <v>110</v>
      </c>
      <c r="G234" s="3" t="s">
        <v>111</v>
      </c>
      <c r="H234" s="3" t="s">
        <v>112</v>
      </c>
      <c r="I234" s="3">
        <v>3</v>
      </c>
      <c r="J234" s="3">
        <v>7</v>
      </c>
    </row>
    <row r="235" spans="1:10">
      <c r="A235" s="3">
        <v>1</v>
      </c>
      <c r="B235" s="4">
        <v>43453</v>
      </c>
      <c r="C235" s="3" t="s">
        <v>280</v>
      </c>
      <c r="D235" s="3">
        <v>4</v>
      </c>
      <c r="E235" s="3" t="s">
        <v>77</v>
      </c>
      <c r="F235" s="3" t="s">
        <v>78</v>
      </c>
      <c r="G235" s="3" t="s">
        <v>232</v>
      </c>
      <c r="H235" s="3" t="s">
        <v>233</v>
      </c>
      <c r="I235" s="3">
        <v>3</v>
      </c>
      <c r="J235" s="3">
        <v>6</v>
      </c>
    </row>
    <row r="236" spans="1:10">
      <c r="A236" s="3">
        <v>1</v>
      </c>
      <c r="B236" s="4">
        <v>43453</v>
      </c>
      <c r="C236" s="3" t="s">
        <v>280</v>
      </c>
      <c r="D236" s="3">
        <v>2</v>
      </c>
      <c r="E236" s="3" t="s">
        <v>25</v>
      </c>
      <c r="F236" s="3" t="s">
        <v>26</v>
      </c>
      <c r="G236" s="3" t="s">
        <v>27</v>
      </c>
      <c r="H236" s="3" t="s">
        <v>28</v>
      </c>
      <c r="I236" s="3">
        <v>3</v>
      </c>
      <c r="J236" s="3">
        <v>5</v>
      </c>
    </row>
    <row r="237" spans="1:10">
      <c r="A237" s="3">
        <v>1</v>
      </c>
      <c r="B237" s="4">
        <v>43453</v>
      </c>
      <c r="C237" s="3" t="s">
        <v>280</v>
      </c>
      <c r="D237" s="3">
        <v>3</v>
      </c>
      <c r="E237" s="3" t="s">
        <v>283</v>
      </c>
      <c r="F237" s="3" t="s">
        <v>284</v>
      </c>
      <c r="G237" s="3" t="s">
        <v>285</v>
      </c>
      <c r="H237" s="3" t="s">
        <v>286</v>
      </c>
      <c r="I237" s="3">
        <v>3</v>
      </c>
      <c r="J237" s="3">
        <v>5</v>
      </c>
    </row>
    <row r="238" spans="1:10">
      <c r="A238" s="3">
        <v>1</v>
      </c>
      <c r="B238" s="4">
        <v>43453</v>
      </c>
      <c r="C238" s="3" t="s">
        <v>280</v>
      </c>
      <c r="D238" s="3">
        <v>2</v>
      </c>
      <c r="E238" s="3" t="s">
        <v>84</v>
      </c>
      <c r="F238" s="3" t="s">
        <v>85</v>
      </c>
      <c r="G238" s="3" t="s">
        <v>86</v>
      </c>
      <c r="H238" s="3" t="s">
        <v>87</v>
      </c>
      <c r="I238" s="3">
        <v>3</v>
      </c>
      <c r="J238" s="3">
        <v>4</v>
      </c>
    </row>
    <row r="239" spans="1:10">
      <c r="A239" s="3">
        <v>1</v>
      </c>
      <c r="B239" s="4">
        <v>43453</v>
      </c>
      <c r="C239" s="3" t="s">
        <v>280</v>
      </c>
      <c r="D239" s="3">
        <v>4</v>
      </c>
      <c r="E239" s="3" t="s">
        <v>21</v>
      </c>
      <c r="F239" s="3" t="s">
        <v>72</v>
      </c>
      <c r="G239" s="3" t="s">
        <v>73</v>
      </c>
      <c r="H239" s="3" t="s">
        <v>74</v>
      </c>
      <c r="I239" s="3">
        <v>3</v>
      </c>
      <c r="J239" s="3">
        <v>2</v>
      </c>
    </row>
    <row r="240" spans="1:10">
      <c r="A240" s="3">
        <v>1</v>
      </c>
      <c r="B240" s="4">
        <v>43453</v>
      </c>
      <c r="C240" s="3" t="s">
        <v>280</v>
      </c>
      <c r="D240" s="3">
        <v>4</v>
      </c>
      <c r="E240" s="3" t="s">
        <v>25</v>
      </c>
      <c r="F240" s="3" t="s">
        <v>48</v>
      </c>
      <c r="G240" s="3" t="s">
        <v>49</v>
      </c>
      <c r="H240" s="3" t="s">
        <v>50</v>
      </c>
      <c r="I240" s="3">
        <v>2</v>
      </c>
      <c r="J240" s="3">
        <v>5</v>
      </c>
    </row>
    <row r="241" spans="1:10">
      <c r="A241" s="3">
        <v>1</v>
      </c>
      <c r="B241" s="4">
        <v>43453</v>
      </c>
      <c r="C241" s="3" t="s">
        <v>280</v>
      </c>
      <c r="D241" s="3">
        <v>3</v>
      </c>
      <c r="E241" s="3" t="s">
        <v>149</v>
      </c>
      <c r="F241" s="3" t="s">
        <v>177</v>
      </c>
      <c r="G241" s="3" t="s">
        <v>178</v>
      </c>
      <c r="H241" s="3" t="s">
        <v>177</v>
      </c>
      <c r="I241" s="3">
        <v>2</v>
      </c>
      <c r="J241" s="3">
        <v>5</v>
      </c>
    </row>
    <row r="242" spans="1:10">
      <c r="A242" s="3">
        <v>1</v>
      </c>
      <c r="B242" s="4">
        <v>43453</v>
      </c>
      <c r="C242" s="3" t="s">
        <v>280</v>
      </c>
      <c r="D242" s="3">
        <v>4</v>
      </c>
      <c r="E242" s="3" t="s">
        <v>55</v>
      </c>
      <c r="F242" s="3" t="s">
        <v>56</v>
      </c>
      <c r="G242" s="3" t="s">
        <v>57</v>
      </c>
      <c r="H242" s="3" t="s">
        <v>58</v>
      </c>
      <c r="I242" s="3">
        <v>2</v>
      </c>
      <c r="J242" s="3">
        <v>5</v>
      </c>
    </row>
    <row r="243" spans="1:10">
      <c r="A243" s="3">
        <v>1</v>
      </c>
      <c r="B243" s="4">
        <v>43453</v>
      </c>
      <c r="C243" s="3" t="s">
        <v>280</v>
      </c>
      <c r="D243" s="3">
        <v>4</v>
      </c>
      <c r="E243" s="3" t="s">
        <v>81</v>
      </c>
      <c r="F243" s="3" t="s">
        <v>82</v>
      </c>
      <c r="G243" s="3" t="s">
        <v>193</v>
      </c>
      <c r="H243" s="3" t="s">
        <v>194</v>
      </c>
      <c r="I243" s="3">
        <v>2</v>
      </c>
      <c r="J243" s="3">
        <v>5</v>
      </c>
    </row>
    <row r="244" spans="1:10">
      <c r="A244" s="3">
        <v>1</v>
      </c>
      <c r="B244" s="4">
        <v>43453</v>
      </c>
      <c r="C244" s="3" t="s">
        <v>280</v>
      </c>
      <c r="D244" s="3">
        <v>4</v>
      </c>
      <c r="E244" s="3" t="s">
        <v>25</v>
      </c>
      <c r="F244" s="3" t="s">
        <v>101</v>
      </c>
      <c r="G244" s="3" t="s">
        <v>102</v>
      </c>
      <c r="H244" s="3" t="s">
        <v>103</v>
      </c>
      <c r="I244" s="3">
        <v>2</v>
      </c>
      <c r="J244" s="3">
        <v>4</v>
      </c>
    </row>
    <row r="245" spans="1:10">
      <c r="A245" s="3">
        <v>1</v>
      </c>
      <c r="B245" s="4">
        <v>43453</v>
      </c>
      <c r="C245" s="3" t="s">
        <v>280</v>
      </c>
      <c r="D245" s="3">
        <v>4</v>
      </c>
      <c r="E245" s="3" t="s">
        <v>21</v>
      </c>
      <c r="F245" s="3" t="s">
        <v>22</v>
      </c>
      <c r="G245" s="3" t="s">
        <v>23</v>
      </c>
      <c r="H245" s="3" t="s">
        <v>24</v>
      </c>
      <c r="I245" s="3">
        <v>2</v>
      </c>
      <c r="J245" s="3">
        <v>4</v>
      </c>
    </row>
    <row r="246" spans="1:10">
      <c r="A246" s="3">
        <v>1</v>
      </c>
      <c r="B246" s="4">
        <v>43453</v>
      </c>
      <c r="C246" s="3" t="s">
        <v>280</v>
      </c>
      <c r="D246" s="3">
        <v>4</v>
      </c>
      <c r="E246" s="3" t="s">
        <v>44</v>
      </c>
      <c r="F246" s="3" t="s">
        <v>45</v>
      </c>
      <c r="G246" s="3" t="s">
        <v>218</v>
      </c>
      <c r="H246" s="3" t="s">
        <v>219</v>
      </c>
      <c r="I246" s="3">
        <v>2</v>
      </c>
      <c r="J246" s="3">
        <v>3</v>
      </c>
    </row>
    <row r="247" spans="1:10">
      <c r="A247" s="3">
        <v>1</v>
      </c>
      <c r="B247" s="4">
        <v>43453</v>
      </c>
      <c r="C247" s="3" t="s">
        <v>280</v>
      </c>
      <c r="D247" s="3">
        <v>1</v>
      </c>
      <c r="E247" s="3" t="s">
        <v>75</v>
      </c>
      <c r="F247" s="3" t="s">
        <v>75</v>
      </c>
      <c r="G247" s="3" t="s">
        <v>287</v>
      </c>
      <c r="H247" s="3" t="s">
        <v>75</v>
      </c>
      <c r="I247" s="3">
        <v>2</v>
      </c>
      <c r="J247" s="3">
        <v>2</v>
      </c>
    </row>
    <row r="248" spans="1:10">
      <c r="A248" s="3">
        <v>1</v>
      </c>
      <c r="B248" s="4">
        <v>43453</v>
      </c>
      <c r="C248" s="3" t="s">
        <v>280</v>
      </c>
      <c r="D248" s="3">
        <v>2</v>
      </c>
      <c r="E248" s="3" t="s">
        <v>25</v>
      </c>
      <c r="F248" s="3" t="s">
        <v>260</v>
      </c>
      <c r="G248" s="3" t="s">
        <v>261</v>
      </c>
      <c r="H248" s="3" t="s">
        <v>262</v>
      </c>
      <c r="I248" s="3">
        <v>2</v>
      </c>
      <c r="J248" s="3">
        <v>2</v>
      </c>
    </row>
    <row r="249" spans="1:10">
      <c r="A249" s="3">
        <v>1</v>
      </c>
      <c r="B249" s="4">
        <v>43453</v>
      </c>
      <c r="C249" s="3" t="s">
        <v>280</v>
      </c>
      <c r="D249" s="3">
        <v>2</v>
      </c>
      <c r="E249" s="3" t="s">
        <v>63</v>
      </c>
      <c r="F249" s="3" t="s">
        <v>244</v>
      </c>
      <c r="G249" s="3" t="s">
        <v>245</v>
      </c>
      <c r="H249" s="3" t="s">
        <v>244</v>
      </c>
      <c r="I249" s="3">
        <v>2</v>
      </c>
      <c r="J249" s="3">
        <v>2</v>
      </c>
    </row>
    <row r="250" spans="1:10">
      <c r="A250" s="3">
        <v>1</v>
      </c>
      <c r="B250" s="4">
        <v>43453</v>
      </c>
      <c r="C250" s="3" t="s">
        <v>280</v>
      </c>
      <c r="D250" s="3">
        <v>4</v>
      </c>
      <c r="E250" s="3" t="s">
        <v>25</v>
      </c>
      <c r="F250" s="3" t="s">
        <v>33</v>
      </c>
      <c r="G250" s="3" t="s">
        <v>34</v>
      </c>
      <c r="H250" s="3" t="s">
        <v>35</v>
      </c>
      <c r="I250" s="3">
        <v>1</v>
      </c>
      <c r="J250" s="3">
        <v>4</v>
      </c>
    </row>
    <row r="251" spans="1:10">
      <c r="A251" s="3">
        <v>1</v>
      </c>
      <c r="B251" s="4">
        <v>43453</v>
      </c>
      <c r="C251" s="3" t="s">
        <v>280</v>
      </c>
      <c r="D251" s="3">
        <v>2</v>
      </c>
      <c r="E251" s="3" t="s">
        <v>63</v>
      </c>
      <c r="F251" s="3" t="s">
        <v>227</v>
      </c>
      <c r="G251" s="3" t="s">
        <v>228</v>
      </c>
      <c r="H251" s="3" t="s">
        <v>229</v>
      </c>
      <c r="I251" s="3">
        <v>1</v>
      </c>
      <c r="J251" s="3">
        <v>4</v>
      </c>
    </row>
    <row r="252" spans="1:10">
      <c r="A252" s="3">
        <v>1</v>
      </c>
      <c r="B252" s="4">
        <v>43453</v>
      </c>
      <c r="C252" s="3" t="s">
        <v>280</v>
      </c>
      <c r="D252" s="3">
        <v>4</v>
      </c>
      <c r="E252" s="3" t="s">
        <v>220</v>
      </c>
      <c r="F252" s="3" t="s">
        <v>199</v>
      </c>
      <c r="G252" s="3" t="s">
        <v>200</v>
      </c>
      <c r="H252" s="3" t="s">
        <v>201</v>
      </c>
      <c r="I252" s="3">
        <v>1</v>
      </c>
      <c r="J252" s="3">
        <v>3</v>
      </c>
    </row>
    <row r="253" spans="1:10">
      <c r="A253" s="3">
        <v>1</v>
      </c>
      <c r="B253" s="4">
        <v>43453</v>
      </c>
      <c r="C253" s="3" t="s">
        <v>280</v>
      </c>
      <c r="D253" s="3">
        <v>4</v>
      </c>
      <c r="E253" s="3" t="s">
        <v>63</v>
      </c>
      <c r="F253" s="3" t="s">
        <v>196</v>
      </c>
      <c r="G253" s="3" t="s">
        <v>197</v>
      </c>
      <c r="H253" s="3" t="s">
        <v>198</v>
      </c>
      <c r="I253" s="3">
        <v>1</v>
      </c>
      <c r="J253" s="3">
        <v>3</v>
      </c>
    </row>
    <row r="254" spans="1:10">
      <c r="A254" s="3">
        <v>1</v>
      </c>
      <c r="B254" s="4">
        <v>43453</v>
      </c>
      <c r="C254" s="3" t="s">
        <v>280</v>
      </c>
      <c r="D254" s="3">
        <v>4</v>
      </c>
      <c r="E254" s="3" t="s">
        <v>25</v>
      </c>
      <c r="F254" s="3" t="s">
        <v>288</v>
      </c>
      <c r="G254" s="3" t="s">
        <v>289</v>
      </c>
      <c r="H254" s="3" t="s">
        <v>290</v>
      </c>
      <c r="I254" s="3">
        <v>1</v>
      </c>
      <c r="J254" s="3">
        <v>3</v>
      </c>
    </row>
    <row r="255" spans="1:10">
      <c r="A255" s="3">
        <v>1</v>
      </c>
      <c r="B255" s="4">
        <v>43453</v>
      </c>
      <c r="C255" s="3" t="s">
        <v>280</v>
      </c>
      <c r="D255" s="3">
        <v>4</v>
      </c>
      <c r="E255" s="3" t="s">
        <v>59</v>
      </c>
      <c r="F255" s="3" t="s">
        <v>60</v>
      </c>
      <c r="G255" s="3" t="s">
        <v>61</v>
      </c>
      <c r="H255" s="3" t="s">
        <v>62</v>
      </c>
      <c r="I255" s="3">
        <v>1</v>
      </c>
      <c r="J255" s="3">
        <v>3</v>
      </c>
    </row>
    <row r="256" spans="1:10">
      <c r="A256" s="3">
        <v>1</v>
      </c>
      <c r="B256" s="4">
        <v>43453</v>
      </c>
      <c r="C256" s="3" t="s">
        <v>280</v>
      </c>
      <c r="D256" s="3">
        <v>3</v>
      </c>
      <c r="E256" s="3" t="s">
        <v>55</v>
      </c>
      <c r="F256" s="3" t="s">
        <v>140</v>
      </c>
      <c r="G256" s="3" t="s">
        <v>141</v>
      </c>
      <c r="H256" s="3" t="s">
        <v>142</v>
      </c>
      <c r="I256" s="3">
        <v>1</v>
      </c>
      <c r="J256" s="3">
        <v>3</v>
      </c>
    </row>
    <row r="257" spans="1:10">
      <c r="A257" s="3">
        <v>1</v>
      </c>
      <c r="B257" s="4">
        <v>43453</v>
      </c>
      <c r="C257" s="3" t="s">
        <v>280</v>
      </c>
      <c r="D257" s="3">
        <v>3</v>
      </c>
      <c r="E257" s="3" t="s">
        <v>25</v>
      </c>
      <c r="F257" s="3" t="s">
        <v>132</v>
      </c>
      <c r="G257" s="3" t="s">
        <v>133</v>
      </c>
      <c r="H257" s="3" t="s">
        <v>134</v>
      </c>
      <c r="I257" s="3">
        <v>1</v>
      </c>
      <c r="J257" s="3">
        <v>2</v>
      </c>
    </row>
    <row r="258" spans="1:10">
      <c r="A258" s="3">
        <v>1</v>
      </c>
      <c r="B258" s="4">
        <v>43453</v>
      </c>
      <c r="C258" s="3" t="s">
        <v>280</v>
      </c>
      <c r="D258" s="3">
        <v>3</v>
      </c>
      <c r="E258" s="3" t="s">
        <v>153</v>
      </c>
      <c r="F258" s="3" t="s">
        <v>154</v>
      </c>
      <c r="G258" s="3" t="s">
        <v>155</v>
      </c>
      <c r="H258" s="3" t="s">
        <v>156</v>
      </c>
      <c r="I258" s="3">
        <v>1</v>
      </c>
      <c r="J258" s="3">
        <v>2</v>
      </c>
    </row>
    <row r="259" spans="1:10">
      <c r="A259" s="3">
        <v>1</v>
      </c>
      <c r="B259" s="4">
        <v>43453</v>
      </c>
      <c r="C259" s="3" t="s">
        <v>280</v>
      </c>
      <c r="D259" s="3">
        <v>4</v>
      </c>
      <c r="E259" s="3" t="s">
        <v>124</v>
      </c>
      <c r="F259" s="3" t="s">
        <v>125</v>
      </c>
      <c r="G259" s="3" t="s">
        <v>126</v>
      </c>
      <c r="H259" s="3" t="s">
        <v>127</v>
      </c>
      <c r="I259" s="3">
        <v>1</v>
      </c>
      <c r="J259" s="3">
        <v>2</v>
      </c>
    </row>
    <row r="260" spans="1:10">
      <c r="A260" s="3">
        <v>1</v>
      </c>
      <c r="B260" s="4">
        <v>43453</v>
      </c>
      <c r="C260" s="3" t="s">
        <v>280</v>
      </c>
      <c r="D260" s="3">
        <v>4</v>
      </c>
      <c r="E260" s="3" t="s">
        <v>63</v>
      </c>
      <c r="F260" s="3" t="s">
        <v>291</v>
      </c>
      <c r="G260" s="3" t="s">
        <v>292</v>
      </c>
      <c r="H260" s="3" t="s">
        <v>293</v>
      </c>
      <c r="I260" s="3">
        <v>1</v>
      </c>
      <c r="J260" s="3">
        <v>1</v>
      </c>
    </row>
    <row r="261" spans="1:10">
      <c r="A261" s="3">
        <v>1</v>
      </c>
      <c r="B261" s="4">
        <v>43453</v>
      </c>
      <c r="C261" s="3" t="s">
        <v>280</v>
      </c>
      <c r="D261" s="3">
        <v>3</v>
      </c>
      <c r="E261" s="3" t="s">
        <v>145</v>
      </c>
      <c r="F261" s="3" t="s">
        <v>294</v>
      </c>
      <c r="G261" s="3" t="s">
        <v>295</v>
      </c>
      <c r="H261" s="3" t="s">
        <v>296</v>
      </c>
      <c r="I261" s="3">
        <v>1</v>
      </c>
      <c r="J261" s="3">
        <v>1</v>
      </c>
    </row>
    <row r="262" spans="1:10">
      <c r="A262" s="3">
        <v>1</v>
      </c>
      <c r="B262" s="4">
        <v>43453</v>
      </c>
      <c r="C262" s="3" t="s">
        <v>280</v>
      </c>
      <c r="D262" s="3">
        <v>2</v>
      </c>
      <c r="E262" s="3" t="s">
        <v>25</v>
      </c>
      <c r="F262" s="3" t="s">
        <v>297</v>
      </c>
      <c r="G262" s="3" t="s">
        <v>298</v>
      </c>
      <c r="H262" s="3" t="s">
        <v>299</v>
      </c>
      <c r="I262" s="3">
        <v>1</v>
      </c>
      <c r="J262" s="3">
        <v>1</v>
      </c>
    </row>
    <row r="263" spans="1:10">
      <c r="A263" s="3">
        <v>1</v>
      </c>
      <c r="B263" s="4">
        <v>43453</v>
      </c>
      <c r="C263" s="3" t="s">
        <v>280</v>
      </c>
      <c r="D263" s="3">
        <v>4</v>
      </c>
      <c r="E263" s="3" t="s">
        <v>160</v>
      </c>
      <c r="F263" s="3" t="s">
        <v>161</v>
      </c>
      <c r="G263" s="3" t="s">
        <v>162</v>
      </c>
      <c r="H263" s="3" t="s">
        <v>163</v>
      </c>
      <c r="I263" s="3">
        <v>0</v>
      </c>
      <c r="J263" s="3">
        <v>4</v>
      </c>
    </row>
    <row r="264" spans="1:10">
      <c r="A264" s="3">
        <v>1</v>
      </c>
      <c r="B264" s="4">
        <v>43453</v>
      </c>
      <c r="C264" s="3" t="s">
        <v>300</v>
      </c>
      <c r="D264" s="3">
        <v>4</v>
      </c>
      <c r="E264" s="3" t="s">
        <v>40</v>
      </c>
      <c r="F264" s="3" t="s">
        <v>41</v>
      </c>
      <c r="G264" s="3" t="s">
        <v>42</v>
      </c>
      <c r="H264" s="3" t="s">
        <v>43</v>
      </c>
      <c r="I264" s="3">
        <v>5</v>
      </c>
      <c r="J264" s="3">
        <v>8</v>
      </c>
    </row>
    <row r="265" spans="1:10">
      <c r="A265" s="3">
        <v>1</v>
      </c>
      <c r="B265" s="4">
        <v>43453</v>
      </c>
      <c r="C265" s="3" t="s">
        <v>300</v>
      </c>
      <c r="D265" s="3">
        <v>4</v>
      </c>
      <c r="E265" s="3" t="s">
        <v>21</v>
      </c>
      <c r="F265" s="3" t="s">
        <v>22</v>
      </c>
      <c r="G265" s="3" t="s">
        <v>23</v>
      </c>
      <c r="H265" s="3" t="s">
        <v>24</v>
      </c>
      <c r="I265" s="3">
        <v>4</v>
      </c>
      <c r="J265" s="3">
        <v>7</v>
      </c>
    </row>
    <row r="266" spans="1:10">
      <c r="A266" s="3">
        <v>1</v>
      </c>
      <c r="B266" s="4">
        <v>43453</v>
      </c>
      <c r="C266" s="3" t="s">
        <v>300</v>
      </c>
      <c r="D266" s="3">
        <v>2</v>
      </c>
      <c r="E266" s="3" t="s">
        <v>25</v>
      </c>
      <c r="F266" s="3" t="s">
        <v>26</v>
      </c>
      <c r="G266" s="3" t="s">
        <v>27</v>
      </c>
      <c r="H266" s="3" t="s">
        <v>28</v>
      </c>
      <c r="I266" s="3">
        <v>4</v>
      </c>
      <c r="J266" s="3">
        <v>6</v>
      </c>
    </row>
    <row r="267" spans="1:10">
      <c r="A267" s="3">
        <v>1</v>
      </c>
      <c r="B267" s="4">
        <v>43453</v>
      </c>
      <c r="C267" s="3" t="s">
        <v>300</v>
      </c>
      <c r="D267" s="3">
        <v>1</v>
      </c>
      <c r="E267" s="3" t="s">
        <v>75</v>
      </c>
      <c r="F267" s="3" t="s">
        <v>75</v>
      </c>
      <c r="G267" s="3" t="s">
        <v>301</v>
      </c>
      <c r="H267" s="3" t="s">
        <v>75</v>
      </c>
      <c r="I267" s="3">
        <v>4</v>
      </c>
      <c r="J267" s="3">
        <v>5</v>
      </c>
    </row>
    <row r="268" spans="1:10">
      <c r="A268" s="3">
        <v>1</v>
      </c>
      <c r="B268" s="4">
        <v>43453</v>
      </c>
      <c r="C268" s="3" t="s">
        <v>300</v>
      </c>
      <c r="D268" s="3">
        <v>4</v>
      </c>
      <c r="E268" s="3" t="s">
        <v>44</v>
      </c>
      <c r="F268" s="3" t="s">
        <v>45</v>
      </c>
      <c r="G268" s="3" t="s">
        <v>218</v>
      </c>
      <c r="H268" s="3" t="s">
        <v>219</v>
      </c>
      <c r="I268" s="3">
        <v>3</v>
      </c>
      <c r="J268" s="3">
        <v>6</v>
      </c>
    </row>
    <row r="269" spans="1:10">
      <c r="A269" s="3">
        <v>1</v>
      </c>
      <c r="B269" s="4">
        <v>43453</v>
      </c>
      <c r="C269" s="3" t="s">
        <v>300</v>
      </c>
      <c r="D269" s="3">
        <v>4</v>
      </c>
      <c r="E269" s="3" t="s">
        <v>302</v>
      </c>
      <c r="F269" s="3" t="s">
        <v>303</v>
      </c>
      <c r="G269" s="3" t="s">
        <v>304</v>
      </c>
      <c r="H269" s="3" t="s">
        <v>305</v>
      </c>
      <c r="I269" s="3">
        <v>2</v>
      </c>
      <c r="J269" s="3">
        <v>5</v>
      </c>
    </row>
    <row r="270" spans="1:10">
      <c r="A270" s="3">
        <v>1</v>
      </c>
      <c r="B270" s="4">
        <v>43453</v>
      </c>
      <c r="C270" s="3" t="s">
        <v>300</v>
      </c>
      <c r="D270" s="3">
        <v>4</v>
      </c>
      <c r="E270" s="3" t="s">
        <v>21</v>
      </c>
      <c r="F270" s="3" t="s">
        <v>72</v>
      </c>
      <c r="G270" s="3" t="s">
        <v>73</v>
      </c>
      <c r="H270" s="3" t="s">
        <v>74</v>
      </c>
      <c r="I270" s="3">
        <v>2</v>
      </c>
      <c r="J270" s="3">
        <v>5</v>
      </c>
    </row>
    <row r="271" spans="1:10">
      <c r="A271" s="3">
        <v>1</v>
      </c>
      <c r="B271" s="4">
        <v>43453</v>
      </c>
      <c r="C271" s="3" t="s">
        <v>300</v>
      </c>
      <c r="D271" s="3">
        <v>4</v>
      </c>
      <c r="E271" s="3" t="s">
        <v>306</v>
      </c>
      <c r="F271" s="3" t="s">
        <v>307</v>
      </c>
      <c r="G271" s="3" t="s">
        <v>308</v>
      </c>
      <c r="H271" s="3" t="s">
        <v>309</v>
      </c>
      <c r="I271" s="3">
        <v>2</v>
      </c>
      <c r="J271" s="3">
        <v>3</v>
      </c>
    </row>
    <row r="272" spans="1:10">
      <c r="A272" s="3">
        <v>1</v>
      </c>
      <c r="B272" s="4">
        <v>43453</v>
      </c>
      <c r="C272" s="3" t="s">
        <v>300</v>
      </c>
      <c r="D272" s="3">
        <v>4</v>
      </c>
      <c r="E272" s="3" t="s">
        <v>25</v>
      </c>
      <c r="F272" s="3" t="s">
        <v>48</v>
      </c>
      <c r="G272" s="3" t="s">
        <v>49</v>
      </c>
      <c r="H272" s="3" t="s">
        <v>50</v>
      </c>
      <c r="I272" s="3">
        <v>1</v>
      </c>
      <c r="J272" s="3">
        <v>4</v>
      </c>
    </row>
    <row r="273" spans="1:10">
      <c r="A273" s="3">
        <v>1</v>
      </c>
      <c r="B273" s="4">
        <v>43453</v>
      </c>
      <c r="C273" s="3" t="s">
        <v>300</v>
      </c>
      <c r="D273" s="3">
        <v>2</v>
      </c>
      <c r="E273" s="3" t="s">
        <v>25</v>
      </c>
      <c r="F273" s="3" t="s">
        <v>310</v>
      </c>
      <c r="G273" s="3" t="s">
        <v>311</v>
      </c>
      <c r="H273" s="3" t="s">
        <v>312</v>
      </c>
      <c r="I273" s="3">
        <v>1</v>
      </c>
      <c r="J273" s="3">
        <v>4</v>
      </c>
    </row>
    <row r="274" spans="1:10">
      <c r="A274" s="3">
        <v>1</v>
      </c>
      <c r="B274" s="4">
        <v>43453</v>
      </c>
      <c r="C274" s="3" t="s">
        <v>300</v>
      </c>
      <c r="D274" s="3">
        <v>2</v>
      </c>
      <c r="E274" s="3" t="s">
        <v>84</v>
      </c>
      <c r="F274" s="3" t="s">
        <v>85</v>
      </c>
      <c r="G274" s="3" t="s">
        <v>86</v>
      </c>
      <c r="H274" s="3" t="s">
        <v>87</v>
      </c>
      <c r="I274" s="3">
        <v>1</v>
      </c>
      <c r="J274" s="3">
        <v>2</v>
      </c>
    </row>
    <row r="275" spans="1:10">
      <c r="A275" s="3">
        <v>1</v>
      </c>
      <c r="B275" s="4">
        <v>43453</v>
      </c>
      <c r="C275" s="3" t="s">
        <v>300</v>
      </c>
      <c r="D275" s="3">
        <v>2</v>
      </c>
      <c r="E275" s="3" t="s">
        <v>63</v>
      </c>
      <c r="F275" s="3" t="s">
        <v>227</v>
      </c>
      <c r="G275" s="3" t="s">
        <v>228</v>
      </c>
      <c r="H275" s="3" t="s">
        <v>229</v>
      </c>
      <c r="I275" s="3">
        <v>1</v>
      </c>
      <c r="J275" s="3">
        <v>2</v>
      </c>
    </row>
    <row r="276" spans="1:10">
      <c r="A276" s="3">
        <v>1</v>
      </c>
      <c r="B276" s="4">
        <v>43453</v>
      </c>
      <c r="C276" s="3" t="s">
        <v>300</v>
      </c>
      <c r="D276" s="3">
        <v>4</v>
      </c>
      <c r="E276" s="3" t="s">
        <v>77</v>
      </c>
      <c r="F276" s="3" t="s">
        <v>78</v>
      </c>
      <c r="G276" s="3" t="s">
        <v>79</v>
      </c>
      <c r="H276" s="3" t="s">
        <v>80</v>
      </c>
      <c r="I276" s="3">
        <v>1</v>
      </c>
      <c r="J276" s="3">
        <v>1</v>
      </c>
    </row>
  </sheetData>
  <autoFilter ref="A1:N276" xr:uid="{00000000-0009-0000-0000-000000000000}"/>
  <pageMargins left="0" right="0" top="0" bottom="0" header="0" footer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277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10.42578125" customWidth="1"/>
    <col min="2" max="2" width="16.42578125" customWidth="1"/>
    <col min="3" max="3" width="9.85546875" customWidth="1"/>
    <col min="4" max="4" width="7.7109375" customWidth="1"/>
    <col min="5" max="5" width="16.140625" customWidth="1"/>
    <col min="6" max="6" width="14.28515625" customWidth="1"/>
    <col min="7" max="7" width="25.7109375" customWidth="1"/>
    <col min="8" max="8" width="24.140625" customWidth="1"/>
    <col min="9" max="9" width="9.85546875" customWidth="1"/>
    <col min="10" max="10" width="18.7109375" customWidth="1"/>
    <col min="11" max="11" width="42.140625" customWidth="1"/>
    <col min="12" max="12" width="20.28515625" customWidth="1"/>
    <col min="14" max="14" width="16.140625" customWidth="1"/>
    <col min="15" max="15" width="14.28515625" customWidth="1"/>
    <col min="16" max="16" width="24.42578125" customWidth="1"/>
    <col min="17" max="17" width="24.140625" customWidth="1"/>
    <col min="20" max="20" width="22.28515625" customWidth="1"/>
    <col min="21" max="21" width="22.140625" customWidth="1"/>
    <col min="22" max="22" width="24.42578125" customWidth="1"/>
    <col min="23" max="23" width="30" customWidth="1"/>
  </cols>
  <sheetData>
    <row r="1" spans="1:27">
      <c r="A1" s="6" t="s">
        <v>0</v>
      </c>
      <c r="B1" s="6" t="s">
        <v>1</v>
      </c>
      <c r="C1" s="6" t="s">
        <v>2</v>
      </c>
      <c r="D1" s="6" t="s">
        <v>313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9"/>
      <c r="M1" s="9"/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9"/>
      <c r="T1" s="6" t="s">
        <v>16</v>
      </c>
      <c r="U1" s="6" t="s">
        <v>17</v>
      </c>
      <c r="V1" s="6" t="s">
        <v>18</v>
      </c>
      <c r="W1" s="6" t="s">
        <v>19</v>
      </c>
      <c r="X1" s="6"/>
      <c r="Y1" s="9"/>
      <c r="Z1" s="9"/>
      <c r="AA1" s="9"/>
    </row>
    <row r="2" spans="1:27">
      <c r="A2" s="10">
        <v>2</v>
      </c>
      <c r="B2" s="7">
        <v>43798</v>
      </c>
      <c r="C2" s="10" t="s">
        <v>92</v>
      </c>
      <c r="D2" s="10">
        <v>3</v>
      </c>
      <c r="E2" s="10" t="s">
        <v>29</v>
      </c>
      <c r="F2" s="10" t="s">
        <v>314</v>
      </c>
      <c r="G2" s="8" t="s">
        <v>315</v>
      </c>
      <c r="H2" s="10" t="s">
        <v>251</v>
      </c>
      <c r="I2" s="8">
        <v>2</v>
      </c>
      <c r="J2" s="10">
        <v>1</v>
      </c>
      <c r="K2" s="9"/>
      <c r="L2" s="9"/>
      <c r="M2" s="9"/>
      <c r="N2" s="9" t="str">
        <f ca="1">IFERROR(__xludf.DUMMYFUNCTION("UNIQUE(T2:T277)"),".")</f>
        <v>.</v>
      </c>
      <c r="O2" s="9" t="str">
        <f ca="1">IFERROR(__xludf.DUMMYFUNCTION("UNIQUE(U2:U277)"),".")</f>
        <v>.</v>
      </c>
      <c r="P2" s="9" t="str">
        <f ca="1">IFERROR(__xludf.DUMMYFUNCTION("UNIQUE(V2:V277)"),"Acalypha gracilens")</f>
        <v>Acalypha gracilens</v>
      </c>
      <c r="Q2" s="9" t="str">
        <f ca="1">IFERROR(__xludf.DUMMYFUNCTION("UNIQUE(W2:W277)"),".")</f>
        <v>.</v>
      </c>
      <c r="R2" s="9"/>
      <c r="S2" s="9"/>
      <c r="T2" s="9" t="e">
        <f t="shared" ref="T2:W2" ca="1" si="0">_xludf.SORT(E2:E277)</f>
        <v>#NAME?</v>
      </c>
      <c r="U2" s="9" t="e">
        <f t="shared" ca="1" si="0"/>
        <v>#NAME?</v>
      </c>
      <c r="V2" s="9" t="e">
        <f t="shared" ca="1" si="0"/>
        <v>#NAME?</v>
      </c>
      <c r="W2" s="9" t="e">
        <f t="shared" ca="1" si="0"/>
        <v>#NAME?</v>
      </c>
      <c r="X2" s="9"/>
      <c r="Y2" s="9"/>
      <c r="Z2" s="9"/>
      <c r="AA2" s="9"/>
    </row>
    <row r="3" spans="1:27">
      <c r="A3" s="10">
        <v>2</v>
      </c>
      <c r="B3" s="7">
        <v>43798</v>
      </c>
      <c r="C3" s="10" t="s">
        <v>92</v>
      </c>
      <c r="D3" s="10">
        <v>1</v>
      </c>
      <c r="E3" s="10" t="s">
        <v>94</v>
      </c>
      <c r="F3" s="10" t="s">
        <v>95</v>
      </c>
      <c r="G3" s="10" t="s">
        <v>96</v>
      </c>
      <c r="H3" s="10" t="s">
        <v>97</v>
      </c>
      <c r="I3" s="10">
        <v>3</v>
      </c>
      <c r="J3" s="10">
        <v>5</v>
      </c>
      <c r="K3" s="9" t="s">
        <v>316</v>
      </c>
      <c r="L3" s="6" t="s">
        <v>98</v>
      </c>
      <c r="M3" s="9"/>
      <c r="N3" s="9" t="str">
        <f ca="1">IFERROR(__xludf.DUMMYFUNCTION("""COMPUTED_VALUE"""),"Acanthaceae")</f>
        <v>Acanthaceae</v>
      </c>
      <c r="O3" s="9" t="str">
        <f ca="1">IFERROR(__xludf.DUMMYFUNCTION("""COMPUTED_VALUE"""),"Acalypha")</f>
        <v>Acalypha</v>
      </c>
      <c r="P3" s="9" t="str">
        <f ca="1">IFERROR(__xludf.DUMMYFUNCTION("""COMPUTED_VALUE"""),"Ageratina jucunda
")</f>
        <v xml:space="preserve">Ageratina jucunda
</v>
      </c>
      <c r="Q3" s="9" t="str">
        <f ca="1">IFERROR(__xludf.DUMMYFUNCTION("""COMPUTED_VALUE"""),"Arrowfeather Threeawn")</f>
        <v>Arrowfeather Threeawn</v>
      </c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>
      <c r="A4" s="10">
        <v>2</v>
      </c>
      <c r="B4" s="7">
        <v>43798</v>
      </c>
      <c r="C4" s="10" t="s">
        <v>92</v>
      </c>
      <c r="D4" s="10">
        <v>4</v>
      </c>
      <c r="E4" s="10" t="s">
        <v>81</v>
      </c>
      <c r="F4" s="10" t="s">
        <v>82</v>
      </c>
      <c r="G4" s="10" t="s">
        <v>99</v>
      </c>
      <c r="H4" s="10" t="s">
        <v>100</v>
      </c>
      <c r="I4" s="10">
        <v>4</v>
      </c>
      <c r="J4" s="10">
        <v>8</v>
      </c>
      <c r="K4" s="9"/>
      <c r="L4" s="9">
        <f ca="1">IFERROR(__xludf.DUMMYFUNCTION("COUNTUNIQUE(N3:N277)"),41)</f>
        <v>41</v>
      </c>
      <c r="M4" s="9"/>
      <c r="N4" s="9" t="str">
        <f ca="1">IFERROR(__xludf.DUMMYFUNCTION("""COMPUTED_VALUE"""),"Adoxaceae")</f>
        <v>Adoxaceae</v>
      </c>
      <c r="O4" s="9" t="str">
        <f ca="1">IFERROR(__xludf.DUMMYFUNCTION("""COMPUTED_VALUE"""),"Ageratina")</f>
        <v>Ageratina</v>
      </c>
      <c r="P4" s="9" t="str">
        <f ca="1">IFERROR(__xludf.DUMMYFUNCTION("""COMPUTED_VALUE"""),"Albizia julibrissian")</f>
        <v>Albizia julibrissian</v>
      </c>
      <c r="Q4" s="9" t="str">
        <f ca="1">IFERROR(__xludf.DUMMYFUNCTION("""COMPUTED_VALUE"""),"Bahia Grass")</f>
        <v>Bahia Grass</v>
      </c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>
      <c r="A5" s="10">
        <v>2</v>
      </c>
      <c r="B5" s="7">
        <v>43798</v>
      </c>
      <c r="C5" s="10" t="s">
        <v>92</v>
      </c>
      <c r="D5" s="10">
        <v>4</v>
      </c>
      <c r="E5" s="10" t="s">
        <v>55</v>
      </c>
      <c r="F5" s="10" t="s">
        <v>137</v>
      </c>
      <c r="G5" s="10" t="s">
        <v>317</v>
      </c>
      <c r="H5" s="10" t="s">
        <v>318</v>
      </c>
      <c r="I5" s="10">
        <v>1</v>
      </c>
      <c r="J5" s="10">
        <v>2</v>
      </c>
      <c r="K5" s="10"/>
      <c r="L5" s="10"/>
      <c r="M5" s="9"/>
      <c r="N5" s="9" t="str">
        <f ca="1">IFERROR(__xludf.DUMMYFUNCTION("""COMPUTED_VALUE"""),"Altingiaceae")</f>
        <v>Altingiaceae</v>
      </c>
      <c r="O5" s="9" t="str">
        <f ca="1">IFERROR(__xludf.DUMMYFUNCTION("""COMPUTED_VALUE"""),"Albizia")</f>
        <v>Albizia</v>
      </c>
      <c r="P5" s="9" t="str">
        <f ca="1">IFERROR(__xludf.DUMMYFUNCTION("""COMPUTED_VALUE"""),"Ambrosia artemisiifolia")</f>
        <v>Ambrosia artemisiifolia</v>
      </c>
      <c r="Q5" s="9" t="str">
        <f ca="1">IFERROR(__xludf.DUMMYFUNCTION("""COMPUTED_VALUE"""),"Basket Grass")</f>
        <v>Basket Grass</v>
      </c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>
      <c r="A6" s="10">
        <v>2</v>
      </c>
      <c r="B6" s="7">
        <v>43798</v>
      </c>
      <c r="C6" s="10" t="s">
        <v>92</v>
      </c>
      <c r="D6" s="10">
        <v>3</v>
      </c>
      <c r="E6" s="10" t="s">
        <v>25</v>
      </c>
      <c r="F6" s="10" t="s">
        <v>101</v>
      </c>
      <c r="G6" s="10" t="s">
        <v>102</v>
      </c>
      <c r="H6" s="10" t="s">
        <v>103</v>
      </c>
      <c r="I6" s="10">
        <v>2</v>
      </c>
      <c r="J6" s="10">
        <v>7</v>
      </c>
      <c r="K6" s="9"/>
      <c r="L6" s="9">
        <f ca="1">IFERROR(__xludf.DUMMYFUNCTION("COUNTUNIQUE(#REF!)"),1)</f>
        <v>1</v>
      </c>
      <c r="M6" s="9"/>
      <c r="N6" s="9" t="str">
        <f ca="1">IFERROR(__xludf.DUMMYFUNCTION("""COMPUTED_VALUE"""),"Anacardiaceae")</f>
        <v>Anacardiaceae</v>
      </c>
      <c r="O6" s="9" t="str">
        <f ca="1">IFERROR(__xludf.DUMMYFUNCTION("""COMPUTED_VALUE"""),"Ambrosia")</f>
        <v>Ambrosia</v>
      </c>
      <c r="P6" s="9" t="str">
        <f ca="1">IFERROR(__xludf.DUMMYFUNCTION("""COMPUTED_VALUE"""),"Andropogan virginicus")</f>
        <v>Andropogan virginicus</v>
      </c>
      <c r="Q6" s="9" t="str">
        <f ca="1">IFERROR(__xludf.DUMMYFUNCTION("""COMPUTED_VALUE"""),"Beautyberry")</f>
        <v>Beautyberry</v>
      </c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>
      <c r="A7" s="10">
        <v>2</v>
      </c>
      <c r="B7" s="7">
        <v>43798</v>
      </c>
      <c r="C7" s="10" t="s">
        <v>92</v>
      </c>
      <c r="D7" s="10">
        <v>4</v>
      </c>
      <c r="E7" s="10" t="s">
        <v>67</v>
      </c>
      <c r="F7" s="10" t="s">
        <v>68</v>
      </c>
      <c r="G7" s="10" t="s">
        <v>69</v>
      </c>
      <c r="H7" s="10" t="s">
        <v>70</v>
      </c>
      <c r="I7" s="10">
        <v>4</v>
      </c>
      <c r="J7" s="10">
        <v>7</v>
      </c>
      <c r="K7" s="9" t="s">
        <v>319</v>
      </c>
      <c r="L7" s="9"/>
      <c r="M7" s="9"/>
      <c r="N7" s="9" t="str">
        <f ca="1">IFERROR(__xludf.DUMMYFUNCTION("""COMPUTED_VALUE"""),"Annonaceae")</f>
        <v>Annonaceae</v>
      </c>
      <c r="O7" s="9" t="str">
        <f ca="1">IFERROR(__xludf.DUMMYFUNCTION("""COMPUTED_VALUE"""),"Andropogon")</f>
        <v>Andropogon</v>
      </c>
      <c r="P7" s="9" t="str">
        <f ca="1">IFERROR(__xludf.DUMMYFUNCTION("""COMPUTED_VALUE"""),"Andropogon gyrans")</f>
        <v>Andropogon gyrans</v>
      </c>
      <c r="Q7" s="9" t="str">
        <f ca="1">IFERROR(__xludf.DUMMYFUNCTION("""COMPUTED_VALUE"""),"Bedstraw")</f>
        <v>Bedstraw</v>
      </c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>
      <c r="A8" s="10">
        <v>2</v>
      </c>
      <c r="B8" s="7">
        <v>43798</v>
      </c>
      <c r="C8" s="10" t="s">
        <v>92</v>
      </c>
      <c r="D8" s="10">
        <v>3</v>
      </c>
      <c r="E8" s="10" t="s">
        <v>104</v>
      </c>
      <c r="F8" s="10" t="s">
        <v>105</v>
      </c>
      <c r="G8" s="10" t="s">
        <v>106</v>
      </c>
      <c r="H8" s="10" t="s">
        <v>107</v>
      </c>
      <c r="I8" s="10">
        <v>2</v>
      </c>
      <c r="J8" s="10">
        <v>3</v>
      </c>
      <c r="K8" s="9"/>
      <c r="L8" s="6" t="s">
        <v>108</v>
      </c>
      <c r="M8" s="9"/>
      <c r="N8" s="9" t="str">
        <f ca="1">IFERROR(__xludf.DUMMYFUNCTION("""COMPUTED_VALUE"""),"Araliaceae")</f>
        <v>Araliaceae</v>
      </c>
      <c r="O8" s="9" t="str">
        <f ca="1">IFERROR(__xludf.DUMMYFUNCTION("""COMPUTED_VALUE"""),"Aralia")</f>
        <v>Aralia</v>
      </c>
      <c r="P8" s="9" t="str">
        <f ca="1">IFERROR(__xludf.DUMMYFUNCTION("""COMPUTED_VALUE"""),"Andropogon sp")</f>
        <v>Andropogon sp</v>
      </c>
      <c r="Q8" s="9" t="str">
        <f ca="1">IFERROR(__xludf.DUMMYFUNCTION("""COMPUTED_VALUE"""),"Beggar lice")</f>
        <v>Beggar lice</v>
      </c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>
      <c r="A9" s="10">
        <v>2</v>
      </c>
      <c r="B9" s="7">
        <v>43798</v>
      </c>
      <c r="C9" s="10" t="s">
        <v>92</v>
      </c>
      <c r="D9" s="10">
        <v>4</v>
      </c>
      <c r="E9" s="10" t="s">
        <v>109</v>
      </c>
      <c r="F9" s="10" t="s">
        <v>110</v>
      </c>
      <c r="G9" s="10" t="s">
        <v>111</v>
      </c>
      <c r="H9" s="10" t="s">
        <v>112</v>
      </c>
      <c r="I9" s="10">
        <v>2</v>
      </c>
      <c r="J9" s="10">
        <v>7</v>
      </c>
      <c r="K9" s="9"/>
      <c r="L9" s="9">
        <f ca="1">IFERROR(__xludf.DUMMYFUNCTION("COUNTUNIQUE(O6:O277)"),83)</f>
        <v>83</v>
      </c>
      <c r="M9" s="9"/>
      <c r="N9" s="9" t="str">
        <f ca="1">IFERROR(__xludf.DUMMYFUNCTION("""COMPUTED_VALUE"""),"Arecaceae")</f>
        <v>Arecaceae</v>
      </c>
      <c r="O9" s="9" t="str">
        <f ca="1">IFERROR(__xludf.DUMMYFUNCTION("""COMPUTED_VALUE"""),"Aralia ")</f>
        <v xml:space="preserve">Aralia </v>
      </c>
      <c r="P9" s="9" t="str">
        <f ca="1">IFERROR(__xludf.DUMMYFUNCTION("""COMPUTED_VALUE"""),"Andropogon spp.")</f>
        <v>Andropogon spp.</v>
      </c>
      <c r="Q9" s="9" t="str">
        <f ca="1">IFERROR(__xludf.DUMMYFUNCTION("""COMPUTED_VALUE"""),"Beggar ticks")</f>
        <v>Beggar ticks</v>
      </c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>
      <c r="A10" s="10">
        <v>2</v>
      </c>
      <c r="B10" s="7">
        <v>43798</v>
      </c>
      <c r="C10" s="10" t="s">
        <v>92</v>
      </c>
      <c r="D10" s="10">
        <v>2</v>
      </c>
      <c r="E10" s="10" t="s">
        <v>320</v>
      </c>
      <c r="F10" s="10" t="s">
        <v>321</v>
      </c>
      <c r="G10" s="10" t="s">
        <v>322</v>
      </c>
      <c r="H10" s="10" t="s">
        <v>323</v>
      </c>
      <c r="I10" s="10">
        <v>1</v>
      </c>
      <c r="J10" s="10">
        <v>1</v>
      </c>
      <c r="K10" s="10"/>
      <c r="L10" s="10"/>
      <c r="M10" s="9"/>
      <c r="N10" s="9" t="str">
        <f ca="1">IFERROR(__xludf.DUMMYFUNCTION("""COMPUTED_VALUE"""),"Asteraceae")</f>
        <v>Asteraceae</v>
      </c>
      <c r="O10" s="9" t="str">
        <f ca="1">IFERROR(__xludf.DUMMYFUNCTION("""COMPUTED_VALUE"""),"Aristida")</f>
        <v>Aristida</v>
      </c>
      <c r="P10" s="9" t="str">
        <f ca="1">IFERROR(__xludf.DUMMYFUNCTION("""COMPUTED_VALUE"""),"Andropogon virginicus")</f>
        <v>Andropogon virginicus</v>
      </c>
      <c r="Q10" s="9" t="str">
        <f ca="1">IFERROR(__xludf.DUMMYFUNCTION("""COMPUTED_VALUE"""),"Bermuda Grass")</f>
        <v>Bermuda Grass</v>
      </c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>
      <c r="A11" s="10">
        <v>2</v>
      </c>
      <c r="B11" s="7">
        <v>43798</v>
      </c>
      <c r="C11" s="10" t="s">
        <v>92</v>
      </c>
      <c r="D11" s="10">
        <v>3</v>
      </c>
      <c r="E11" s="10" t="s">
        <v>113</v>
      </c>
      <c r="F11" s="10" t="s">
        <v>114</v>
      </c>
      <c r="G11" s="10" t="s">
        <v>115</v>
      </c>
      <c r="H11" s="10" t="s">
        <v>116</v>
      </c>
      <c r="I11" s="10">
        <v>3</v>
      </c>
      <c r="J11" s="10">
        <v>6</v>
      </c>
      <c r="K11" s="9"/>
      <c r="L11" s="9"/>
      <c r="M11" s="9"/>
      <c r="N11" s="9" t="str">
        <f ca="1">IFERROR(__xludf.DUMMYFUNCTION("""COMPUTED_VALUE"""),"Cannabaceae")</f>
        <v>Cannabaceae</v>
      </c>
      <c r="O11" s="9" t="str">
        <f ca="1">IFERROR(__xludf.DUMMYFUNCTION("""COMPUTED_VALUE"""),"Asimina")</f>
        <v>Asimina</v>
      </c>
      <c r="P11" s="9" t="str">
        <f ca="1">IFERROR(__xludf.DUMMYFUNCTION("""COMPUTED_VALUE"""),"Aralia spinosa")</f>
        <v>Aralia spinosa</v>
      </c>
      <c r="Q11" s="9" t="str">
        <f ca="1">IFERROR(__xludf.DUMMYFUNCTION("""COMPUTED_VALUE"""),"Black Cherry")</f>
        <v>Black Cherry</v>
      </c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>
      <c r="A12" s="10">
        <v>2</v>
      </c>
      <c r="B12" s="7">
        <v>43798</v>
      </c>
      <c r="C12" s="10" t="s">
        <v>92</v>
      </c>
      <c r="D12" s="10">
        <v>2</v>
      </c>
      <c r="E12" s="10" t="s">
        <v>55</v>
      </c>
      <c r="F12" s="10" t="s">
        <v>117</v>
      </c>
      <c r="G12" s="10" t="s">
        <v>118</v>
      </c>
      <c r="H12" s="10" t="s">
        <v>119</v>
      </c>
      <c r="I12" s="10">
        <v>3</v>
      </c>
      <c r="J12" s="10">
        <v>1</v>
      </c>
      <c r="K12" s="9"/>
      <c r="L12" s="9">
        <f ca="1">IFERROR(__xludf.DUMMYFUNCTION("COUNTUNIQUE(P6:P277)"),113)</f>
        <v>113</v>
      </c>
      <c r="M12" s="9"/>
      <c r="N12" s="9" t="str">
        <f ca="1">IFERROR(__xludf.DUMMYFUNCTION("""COMPUTED_VALUE"""),"Convolvulaceae")</f>
        <v>Convolvulaceae</v>
      </c>
      <c r="O12" s="9" t="str">
        <f ca="1">IFERROR(__xludf.DUMMYFUNCTION("""COMPUTED_VALUE"""),"Bidens")</f>
        <v>Bidens</v>
      </c>
      <c r="P12" s="9" t="str">
        <f ca="1">IFERROR(__xludf.DUMMYFUNCTION("""COMPUTED_VALUE"""),"Aristida purpurascens")</f>
        <v>Aristida purpurascens</v>
      </c>
      <c r="Q12" s="9" t="str">
        <f ca="1">IFERROR(__xludf.DUMMYFUNCTION("""COMPUTED_VALUE"""),"Bluestem Grass")</f>
        <v>Bluestem Grass</v>
      </c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>
      <c r="A13" s="10">
        <v>2</v>
      </c>
      <c r="B13" s="7">
        <v>43798</v>
      </c>
      <c r="C13" s="10" t="s">
        <v>92</v>
      </c>
      <c r="D13" s="10">
        <v>4</v>
      </c>
      <c r="E13" s="10" t="s">
        <v>44</v>
      </c>
      <c r="F13" s="10" t="s">
        <v>120</v>
      </c>
      <c r="G13" s="10" t="s">
        <v>121</v>
      </c>
      <c r="H13" s="10" t="s">
        <v>122</v>
      </c>
      <c r="I13" s="10">
        <v>3</v>
      </c>
      <c r="J13" s="10">
        <v>2</v>
      </c>
      <c r="K13" s="9"/>
      <c r="L13" s="6" t="s">
        <v>123</v>
      </c>
      <c r="M13" s="9"/>
      <c r="N13" s="9" t="str">
        <f ca="1">IFERROR(__xludf.DUMMYFUNCTION("""COMPUTED_VALUE"""),"Cyperaceae")</f>
        <v>Cyperaceae</v>
      </c>
      <c r="O13" s="9" t="str">
        <f ca="1">IFERROR(__xludf.DUMMYFUNCTION("""COMPUTED_VALUE"""),"Bublbostylis")</f>
        <v>Bublbostylis</v>
      </c>
      <c r="P13" s="9" t="str">
        <f ca="1">IFERROR(__xludf.DUMMYFUNCTION("""COMPUTED_VALUE"""),"Aristida stricta")</f>
        <v>Aristida stricta</v>
      </c>
      <c r="Q13" s="9" t="str">
        <f ca="1">IFERROR(__xludf.DUMMYFUNCTION("""COMPUTED_VALUE"""),"Bracken Fern")</f>
        <v>Bracken Fern</v>
      </c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>
      <c r="A14" s="10">
        <v>2</v>
      </c>
      <c r="B14" s="7">
        <v>43798</v>
      </c>
      <c r="C14" s="10" t="s">
        <v>92</v>
      </c>
      <c r="D14" s="10">
        <v>4</v>
      </c>
      <c r="E14" s="10" t="s">
        <v>124</v>
      </c>
      <c r="F14" s="10" t="s">
        <v>125</v>
      </c>
      <c r="G14" s="10" t="s">
        <v>126</v>
      </c>
      <c r="H14" s="10" t="s">
        <v>127</v>
      </c>
      <c r="I14" s="10">
        <v>3</v>
      </c>
      <c r="J14" s="10">
        <v>2</v>
      </c>
      <c r="K14" s="9"/>
      <c r="L14" s="9"/>
      <c r="M14" s="9"/>
      <c r="N14" s="9" t="str">
        <f ca="1">IFERROR(__xludf.DUMMYFUNCTION("""COMPUTED_VALUE"""),"Cyperaceae ")</f>
        <v xml:space="preserve">Cyperaceae </v>
      </c>
      <c r="O14" s="9" t="str">
        <f ca="1">IFERROR(__xludf.DUMMYFUNCTION("""COMPUTED_VALUE"""),"Callicarpa")</f>
        <v>Callicarpa</v>
      </c>
      <c r="P14" s="9" t="str">
        <f ca="1">IFERROR(__xludf.DUMMYFUNCTION("""COMPUTED_VALUE"""),"Asimina angustifolia")</f>
        <v>Asimina angustifolia</v>
      </c>
      <c r="Q14" s="9" t="str">
        <f ca="1">IFERROR(__xludf.DUMMYFUNCTION("""COMPUTED_VALUE"""),"Broomsedge")</f>
        <v>Broomsedge</v>
      </c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>
      <c r="A15" s="10">
        <v>2</v>
      </c>
      <c r="B15" s="7">
        <v>43798</v>
      </c>
      <c r="C15" s="10" t="s">
        <v>92</v>
      </c>
      <c r="D15" s="10">
        <v>1</v>
      </c>
      <c r="E15" s="10" t="s">
        <v>63</v>
      </c>
      <c r="F15" s="10" t="s">
        <v>128</v>
      </c>
      <c r="G15" s="10" t="s">
        <v>129</v>
      </c>
      <c r="H15" s="10" t="s">
        <v>130</v>
      </c>
      <c r="I15" s="10">
        <v>3</v>
      </c>
      <c r="J15" s="10">
        <v>4</v>
      </c>
      <c r="K15" s="9"/>
      <c r="L15" s="6" t="s">
        <v>131</v>
      </c>
      <c r="M15" s="9"/>
      <c r="N15" s="9" t="str">
        <f ca="1">IFERROR(__xludf.DUMMYFUNCTION("""COMPUTED_VALUE"""),"Dennstaedtiaceae")</f>
        <v>Dennstaedtiaceae</v>
      </c>
      <c r="O15" s="9" t="str">
        <f ca="1">IFERROR(__xludf.DUMMYFUNCTION("""COMPUTED_VALUE"""),"Carya")</f>
        <v>Carya</v>
      </c>
      <c r="P15" s="9" t="str">
        <f ca="1">IFERROR(__xludf.DUMMYFUNCTION("""COMPUTED_VALUE"""),"Bahiagrass")</f>
        <v>Bahiagrass</v>
      </c>
      <c r="Q15" s="9" t="str">
        <f ca="1">IFERROR(__xludf.DUMMYFUNCTION("""COMPUTED_VALUE"""),"Broomsedge Bluestem")</f>
        <v>Broomsedge Bluestem</v>
      </c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>
      <c r="A16" s="10">
        <v>2</v>
      </c>
      <c r="B16" s="7">
        <v>43798</v>
      </c>
      <c r="C16" s="10" t="s">
        <v>92</v>
      </c>
      <c r="D16" s="10">
        <v>3</v>
      </c>
      <c r="E16" s="10" t="s">
        <v>25</v>
      </c>
      <c r="F16" s="10" t="s">
        <v>132</v>
      </c>
      <c r="G16" s="10" t="s">
        <v>133</v>
      </c>
      <c r="H16" s="10" t="s">
        <v>134</v>
      </c>
      <c r="I16" s="10">
        <v>3</v>
      </c>
      <c r="J16" s="10">
        <v>2</v>
      </c>
      <c r="K16" s="9"/>
      <c r="L16" s="9"/>
      <c r="M16" s="9"/>
      <c r="N16" s="9" t="str">
        <f ca="1">IFERROR(__xludf.DUMMYFUNCTION("""COMPUTED_VALUE"""),"Ebenaceae ")</f>
        <v xml:space="preserve">Ebenaceae </v>
      </c>
      <c r="O16" s="9" t="str">
        <f ca="1">IFERROR(__xludf.DUMMYFUNCTION("""COMPUTED_VALUE"""),"Celtis")</f>
        <v>Celtis</v>
      </c>
      <c r="P16" s="9" t="str">
        <f ca="1">IFERROR(__xludf.DUMMYFUNCTION("""COMPUTED_VALUE"""),"Bidens alba")</f>
        <v>Bidens alba</v>
      </c>
      <c r="Q16" s="9" t="str">
        <f ca="1">IFERROR(__xludf.DUMMYFUNCTION("""COMPUTED_VALUE"""),"Buttercup")</f>
        <v>Buttercup</v>
      </c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>
      <c r="A17" s="10">
        <v>2</v>
      </c>
      <c r="B17" s="7">
        <v>43798</v>
      </c>
      <c r="C17" s="10" t="s">
        <v>92</v>
      </c>
      <c r="D17" s="10">
        <v>3</v>
      </c>
      <c r="E17" s="10" t="s">
        <v>81</v>
      </c>
      <c r="F17" s="10" t="s">
        <v>82</v>
      </c>
      <c r="G17" s="10" t="s">
        <v>135</v>
      </c>
      <c r="H17" s="10" t="s">
        <v>136</v>
      </c>
      <c r="I17" s="10">
        <v>4</v>
      </c>
      <c r="J17" s="10">
        <v>6</v>
      </c>
      <c r="K17" s="9"/>
      <c r="L17" s="9"/>
      <c r="M17" s="9"/>
      <c r="N17" s="9" t="str">
        <f ca="1">IFERROR(__xludf.DUMMYFUNCTION("""COMPUTED_VALUE"""),"Ericaceae ")</f>
        <v xml:space="preserve">Ericaceae </v>
      </c>
      <c r="O17" s="9" t="str">
        <f ca="1">IFERROR(__xludf.DUMMYFUNCTION("""COMPUTED_VALUE"""),"Centrosema")</f>
        <v>Centrosema</v>
      </c>
      <c r="P17" s="9" t="str">
        <f ca="1">IFERROR(__xludf.DUMMYFUNCTION("""COMPUTED_VALUE"""),"Bulbostylis spp.")</f>
        <v>Bulbostylis spp.</v>
      </c>
      <c r="Q17" s="9" t="str">
        <f ca="1">IFERROR(__xludf.DUMMYFUNCTION("""COMPUTED_VALUE"""),"Butterfly Pea")</f>
        <v>Butterfly Pea</v>
      </c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>
      <c r="A18" s="10">
        <v>2</v>
      </c>
      <c r="B18" s="7">
        <v>43798</v>
      </c>
      <c r="C18" s="10" t="s">
        <v>92</v>
      </c>
      <c r="D18" s="10">
        <v>4</v>
      </c>
      <c r="E18" s="10" t="s">
        <v>21</v>
      </c>
      <c r="F18" s="10" t="s">
        <v>22</v>
      </c>
      <c r="G18" s="10" t="s">
        <v>23</v>
      </c>
      <c r="H18" s="10" t="s">
        <v>24</v>
      </c>
      <c r="I18" s="10">
        <v>3</v>
      </c>
      <c r="J18" s="10">
        <v>7</v>
      </c>
      <c r="K18" s="9"/>
      <c r="L18" s="9"/>
      <c r="M18" s="9"/>
      <c r="N18" s="9" t="str">
        <f ca="1">IFERROR(__xludf.DUMMYFUNCTION("""COMPUTED_VALUE"""),"Euphorbiaceae")</f>
        <v>Euphorbiaceae</v>
      </c>
      <c r="O18" s="9" t="str">
        <f ca="1">IFERROR(__xludf.DUMMYFUNCTION("""COMPUTED_VALUE"""),"Chamaecrista")</f>
        <v>Chamaecrista</v>
      </c>
      <c r="P18" s="9" t="str">
        <f ca="1">IFERROR(__xludf.DUMMYFUNCTION("""COMPUTED_VALUE"""),"Callicarpa americana")</f>
        <v>Callicarpa americana</v>
      </c>
      <c r="Q18" s="9" t="str">
        <f ca="1">IFERROR(__xludf.DUMMYFUNCTION("""COMPUTED_VALUE"""),"Butterfly pea")</f>
        <v>Butterfly pea</v>
      </c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>
      <c r="A19" s="10">
        <v>2</v>
      </c>
      <c r="B19" s="7">
        <v>43798</v>
      </c>
      <c r="C19" s="10" t="s">
        <v>92</v>
      </c>
      <c r="D19" s="10">
        <v>4</v>
      </c>
      <c r="E19" s="10" t="s">
        <v>55</v>
      </c>
      <c r="F19" s="10" t="s">
        <v>137</v>
      </c>
      <c r="G19" s="10" t="s">
        <v>138</v>
      </c>
      <c r="H19" s="10" t="s">
        <v>139</v>
      </c>
      <c r="I19" s="10">
        <v>2</v>
      </c>
      <c r="J19" s="10">
        <v>5</v>
      </c>
      <c r="K19" s="9"/>
      <c r="L19" s="9"/>
      <c r="M19" s="9"/>
      <c r="N19" s="9" t="str">
        <f ca="1">IFERROR(__xludf.DUMMYFUNCTION("""COMPUTED_VALUE"""),"Fabaceae")</f>
        <v>Fabaceae</v>
      </c>
      <c r="O19" s="9" t="str">
        <f ca="1">IFERROR(__xludf.DUMMYFUNCTION("""COMPUTED_VALUE"""),"Chimaphila")</f>
        <v>Chimaphila</v>
      </c>
      <c r="P19" s="9" t="str">
        <f ca="1">IFERROR(__xludf.DUMMYFUNCTION("""COMPUTED_VALUE"""),"Carya glabra")</f>
        <v>Carya glabra</v>
      </c>
      <c r="Q19" s="9" t="str">
        <f ca="1">IFERROR(__xludf.DUMMYFUNCTION("""COMPUTED_VALUE"""),"Cabbage Palm")</f>
        <v>Cabbage Palm</v>
      </c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>
      <c r="A20" s="10">
        <v>2</v>
      </c>
      <c r="B20" s="7">
        <v>43798</v>
      </c>
      <c r="C20" s="10" t="s">
        <v>92</v>
      </c>
      <c r="D20" s="10">
        <v>4</v>
      </c>
      <c r="E20" s="10" t="s">
        <v>55</v>
      </c>
      <c r="F20" s="10" t="s">
        <v>140</v>
      </c>
      <c r="G20" s="10" t="s">
        <v>141</v>
      </c>
      <c r="H20" s="10" t="s">
        <v>142</v>
      </c>
      <c r="I20" s="10">
        <v>1</v>
      </c>
      <c r="J20" s="10">
        <v>3</v>
      </c>
      <c r="K20" s="9"/>
      <c r="L20" s="9"/>
      <c r="M20" s="9"/>
      <c r="N20" s="9" t="str">
        <f ca="1">IFERROR(__xludf.DUMMYFUNCTION("""COMPUTED_VALUE"""),"Fabaceae ")</f>
        <v xml:space="preserve">Fabaceae </v>
      </c>
      <c r="O20" s="9" t="str">
        <f ca="1">IFERROR(__xludf.DUMMYFUNCTION("""COMPUTED_VALUE"""),"Cinnamomum")</f>
        <v>Cinnamomum</v>
      </c>
      <c r="P20" s="9" t="str">
        <f ca="1">IFERROR(__xludf.DUMMYFUNCTION("""COMPUTED_VALUE"""),"Celtis laevigata")</f>
        <v>Celtis laevigata</v>
      </c>
      <c r="Q20" s="9" t="str">
        <f ca="1">IFERROR(__xludf.DUMMYFUNCTION("""COMPUTED_VALUE"""),"Camphor Tree")</f>
        <v>Camphor Tree</v>
      </c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>
      <c r="A21" s="10">
        <v>2</v>
      </c>
      <c r="B21" s="7">
        <v>43798</v>
      </c>
      <c r="C21" s="10" t="s">
        <v>92</v>
      </c>
      <c r="D21" s="10">
        <v>4</v>
      </c>
      <c r="E21" s="10" t="s">
        <v>25</v>
      </c>
      <c r="F21" s="10" t="s">
        <v>33</v>
      </c>
      <c r="G21" s="10" t="s">
        <v>34</v>
      </c>
      <c r="H21" s="10" t="s">
        <v>35</v>
      </c>
      <c r="I21" s="10">
        <v>1</v>
      </c>
      <c r="J21" s="10">
        <v>3</v>
      </c>
      <c r="K21" s="9"/>
      <c r="L21" s="9"/>
      <c r="M21" s="9"/>
      <c r="N21" s="9" t="str">
        <f ca="1">IFERROR(__xludf.DUMMYFUNCTION("""COMPUTED_VALUE"""),"Fagaceae")</f>
        <v>Fagaceae</v>
      </c>
      <c r="O21" s="9" t="str">
        <f ca="1">IFERROR(__xludf.DUMMYFUNCTION("""COMPUTED_VALUE"""),"Clematis")</f>
        <v>Clematis</v>
      </c>
      <c r="P21" s="9" t="str">
        <f ca="1">IFERROR(__xludf.DUMMYFUNCTION("""COMPUTED_VALUE"""),"Centrosema virginiana")</f>
        <v>Centrosema virginiana</v>
      </c>
      <c r="Q21" s="9" t="str">
        <f ca="1">IFERROR(__xludf.DUMMYFUNCTION("""COMPUTED_VALUE"""),"Carolina Cranesbill")</f>
        <v>Carolina Cranesbill</v>
      </c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>
      <c r="A22" s="10">
        <v>2</v>
      </c>
      <c r="B22" s="7">
        <v>43798</v>
      </c>
      <c r="C22" s="10" t="s">
        <v>92</v>
      </c>
      <c r="D22" s="10">
        <v>3</v>
      </c>
      <c r="E22" s="10" t="s">
        <v>55</v>
      </c>
      <c r="F22" s="10" t="s">
        <v>143</v>
      </c>
      <c r="G22" s="10" t="s">
        <v>144</v>
      </c>
      <c r="H22" s="10" t="s">
        <v>143</v>
      </c>
      <c r="I22" s="10">
        <v>2</v>
      </c>
      <c r="J22" s="10">
        <v>4</v>
      </c>
      <c r="K22" s="9"/>
      <c r="L22" s="9"/>
      <c r="M22" s="9"/>
      <c r="N22" s="9" t="str">
        <f ca="1">IFERROR(__xludf.DUMMYFUNCTION("""COMPUTED_VALUE"""),"Gelsemiaceae")</f>
        <v>Gelsemiaceae</v>
      </c>
      <c r="O22" s="9" t="str">
        <f ca="1">IFERROR(__xludf.DUMMYFUNCTION("""COMPUTED_VALUE"""),"Clitoria")</f>
        <v>Clitoria</v>
      </c>
      <c r="P22" s="9" t="str">
        <f ca="1">IFERROR(__xludf.DUMMYFUNCTION("""COMPUTED_VALUE"""),"Centrosema virginianum")</f>
        <v>Centrosema virginianum</v>
      </c>
      <c r="Q22" s="9" t="str">
        <f ca="1">IFERROR(__xludf.DUMMYFUNCTION("""COMPUTED_VALUE"""),"Catbriar")</f>
        <v>Catbriar</v>
      </c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>
      <c r="A23" s="10">
        <v>2</v>
      </c>
      <c r="B23" s="7">
        <v>43798</v>
      </c>
      <c r="C23" s="10" t="s">
        <v>92</v>
      </c>
      <c r="D23" s="10">
        <v>4</v>
      </c>
      <c r="E23" s="10" t="s">
        <v>145</v>
      </c>
      <c r="F23" s="10" t="s">
        <v>146</v>
      </c>
      <c r="G23" s="10" t="s">
        <v>147</v>
      </c>
      <c r="H23" s="10" t="s">
        <v>148</v>
      </c>
      <c r="I23" s="10">
        <v>1</v>
      </c>
      <c r="J23" s="10">
        <v>2</v>
      </c>
      <c r="K23" s="9"/>
      <c r="L23" s="9"/>
      <c r="M23" s="9"/>
      <c r="N23" s="9" t="str">
        <f ca="1">IFERROR(__xludf.DUMMYFUNCTION("""COMPUTED_VALUE"""),"Geraniaceae ")</f>
        <v xml:space="preserve">Geraniaceae </v>
      </c>
      <c r="O23" s="9" t="str">
        <f ca="1">IFERROR(__xludf.DUMMYFUNCTION("""COMPUTED_VALUE"""),"Cnidoscolus")</f>
        <v>Cnidoscolus</v>
      </c>
      <c r="P23" s="9" t="str">
        <f ca="1">IFERROR(__xludf.DUMMYFUNCTION("""COMPUTED_VALUE"""),"Chamaecrista fasciculata")</f>
        <v>Chamaecrista fasciculata</v>
      </c>
      <c r="Q23" s="9" t="str">
        <f ca="1">IFERROR(__xludf.DUMMYFUNCTION("""COMPUTED_VALUE"""),"Chamberbitter")</f>
        <v>Chamberbitter</v>
      </c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>
      <c r="A24" s="10">
        <v>2</v>
      </c>
      <c r="B24" s="7">
        <v>43798</v>
      </c>
      <c r="C24" s="10" t="s">
        <v>92</v>
      </c>
      <c r="D24" s="10">
        <v>2</v>
      </c>
      <c r="E24" s="10" t="s">
        <v>84</v>
      </c>
      <c r="F24" s="10" t="s">
        <v>85</v>
      </c>
      <c r="G24" s="10" t="s">
        <v>86</v>
      </c>
      <c r="H24" s="10" t="s">
        <v>87</v>
      </c>
      <c r="I24" s="10">
        <v>2</v>
      </c>
      <c r="J24" s="10">
        <v>2</v>
      </c>
      <c r="K24" s="9"/>
      <c r="L24" s="9"/>
      <c r="M24" s="9"/>
      <c r="N24" s="9" t="str">
        <f ca="1">IFERROR(__xludf.DUMMYFUNCTION("""COMPUTED_VALUE"""),"Hypericaceae")</f>
        <v>Hypericaceae</v>
      </c>
      <c r="O24" s="9" t="str">
        <f ca="1">IFERROR(__xludf.DUMMYFUNCTION("""COMPUTED_VALUE"""),"Crotalaria")</f>
        <v>Crotalaria</v>
      </c>
      <c r="P24" s="9" t="str">
        <f ca="1">IFERROR(__xludf.DUMMYFUNCTION("""COMPUTED_VALUE"""),"Cinnamomum camphora")</f>
        <v>Cinnamomum camphora</v>
      </c>
      <c r="Q24" s="9" t="str">
        <f ca="1">IFERROR(__xludf.DUMMYFUNCTION("""COMPUTED_VALUE"""),"Cherokee Bean")</f>
        <v>Cherokee Bean</v>
      </c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>
      <c r="A25" s="10">
        <v>2</v>
      </c>
      <c r="B25" s="7">
        <v>43798</v>
      </c>
      <c r="C25" s="10" t="s">
        <v>92</v>
      </c>
      <c r="D25" s="10">
        <v>4</v>
      </c>
      <c r="E25" s="10" t="s">
        <v>149</v>
      </c>
      <c r="F25" s="10" t="s">
        <v>150</v>
      </c>
      <c r="G25" s="10" t="s">
        <v>151</v>
      </c>
      <c r="H25" s="10" t="s">
        <v>324</v>
      </c>
      <c r="I25" s="10">
        <v>1</v>
      </c>
      <c r="J25" s="10">
        <v>4</v>
      </c>
      <c r="K25" s="9"/>
      <c r="L25" s="9"/>
      <c r="M25" s="9"/>
      <c r="N25" s="9" t="str">
        <f ca="1">IFERROR(__xludf.DUMMYFUNCTION("""COMPUTED_VALUE"""),"Juglandaceae")</f>
        <v>Juglandaceae</v>
      </c>
      <c r="O25" s="9" t="str">
        <f ca="1">IFERROR(__xludf.DUMMYFUNCTION("""COMPUTED_VALUE"""),"Cynodon")</f>
        <v>Cynodon</v>
      </c>
      <c r="P25" s="9" t="str">
        <f ca="1">IFERROR(__xludf.DUMMYFUNCTION("""COMPUTED_VALUE"""),"Clematis sp.")</f>
        <v>Clematis sp.</v>
      </c>
      <c r="Q25" s="9" t="str">
        <f ca="1">IFERROR(__xludf.DUMMYFUNCTION("""COMPUTED_VALUE"""),"Cherry Laurel")</f>
        <v>Cherry Laurel</v>
      </c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>
      <c r="A26" s="10">
        <v>2</v>
      </c>
      <c r="B26" s="7">
        <v>43798</v>
      </c>
      <c r="C26" s="10" t="s">
        <v>92</v>
      </c>
      <c r="D26" s="10">
        <v>2</v>
      </c>
      <c r="E26" s="10" t="s">
        <v>84</v>
      </c>
      <c r="F26" s="10" t="s">
        <v>157</v>
      </c>
      <c r="G26" s="10" t="s">
        <v>158</v>
      </c>
      <c r="H26" s="10" t="s">
        <v>159</v>
      </c>
      <c r="I26" s="10">
        <v>1</v>
      </c>
      <c r="J26" s="10">
        <v>2</v>
      </c>
      <c r="K26" s="9"/>
      <c r="L26" s="9"/>
      <c r="M26" s="9"/>
      <c r="N26" s="9" t="str">
        <f ca="1">IFERROR(__xludf.DUMMYFUNCTION("""COMPUTED_VALUE"""),"Juncaceae")</f>
        <v>Juncaceae</v>
      </c>
      <c r="O26" s="9" t="str">
        <f ca="1">IFERROR(__xludf.DUMMYFUNCTION("""COMPUTED_VALUE"""),"Cyperus")</f>
        <v>Cyperus</v>
      </c>
      <c r="P26" s="9" t="str">
        <f ca="1">IFERROR(__xludf.DUMMYFUNCTION("""COMPUTED_VALUE"""),"Clitoria mariana")</f>
        <v>Clitoria mariana</v>
      </c>
      <c r="Q26" s="9" t="str">
        <f ca="1">IFERROR(__xludf.DUMMYFUNCTION("""COMPUTED_VALUE"""),"Clover")</f>
        <v>Clover</v>
      </c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>
      <c r="A27" s="10">
        <v>2</v>
      </c>
      <c r="B27" s="7">
        <v>43798</v>
      </c>
      <c r="C27" s="10" t="s">
        <v>92</v>
      </c>
      <c r="D27" s="10">
        <v>4</v>
      </c>
      <c r="E27" s="10" t="s">
        <v>160</v>
      </c>
      <c r="F27" s="10" t="s">
        <v>161</v>
      </c>
      <c r="G27" s="10" t="s">
        <v>162</v>
      </c>
      <c r="H27" s="10" t="s">
        <v>163</v>
      </c>
      <c r="I27" s="10">
        <v>1</v>
      </c>
      <c r="J27" s="10">
        <v>4</v>
      </c>
      <c r="K27" s="9"/>
      <c r="L27" s="9"/>
      <c r="M27" s="9"/>
      <c r="N27" s="9" t="str">
        <f ca="1">IFERROR(__xludf.DUMMYFUNCTION("""COMPUTED_VALUE"""),"Labiatae")</f>
        <v>Labiatae</v>
      </c>
      <c r="O27" s="9" t="str">
        <f ca="1">IFERROR(__xludf.DUMMYFUNCTION("""COMPUTED_VALUE"""),"Desmodium")</f>
        <v>Desmodium</v>
      </c>
      <c r="P27" s="9" t="str">
        <f ca="1">IFERROR(__xludf.DUMMYFUNCTION("""COMPUTED_VALUE"""),"Cnidoscolus urens")</f>
        <v>Cnidoscolus urens</v>
      </c>
      <c r="Q27" s="9" t="str">
        <f ca="1">IFERROR(__xludf.DUMMYFUNCTION("""COMPUTED_VALUE"""),"Coastal Plain Hawkweed")</f>
        <v>Coastal Plain Hawkweed</v>
      </c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>
      <c r="A28" s="10">
        <v>2</v>
      </c>
      <c r="B28" s="7">
        <v>43798</v>
      </c>
      <c r="C28" s="10" t="s">
        <v>92</v>
      </c>
      <c r="D28" s="10">
        <v>4</v>
      </c>
      <c r="E28" s="10" t="s">
        <v>63</v>
      </c>
      <c r="F28" s="10" t="s">
        <v>325</v>
      </c>
      <c r="G28" s="10" t="s">
        <v>326</v>
      </c>
      <c r="H28" s="10" t="s">
        <v>327</v>
      </c>
      <c r="I28" s="10">
        <v>1</v>
      </c>
      <c r="J28" s="10">
        <v>1</v>
      </c>
      <c r="K28" s="10"/>
      <c r="L28" s="10"/>
      <c r="M28" s="9"/>
      <c r="N28" s="9" t="str">
        <f ca="1">IFERROR(__xludf.DUMMYFUNCTION("""COMPUTED_VALUE"""),"Lamiaceae")</f>
        <v>Lamiaceae</v>
      </c>
      <c r="O28" s="9" t="str">
        <f ca="1">IFERROR(__xludf.DUMMYFUNCTION("""COMPUTED_VALUE"""),"Dichanthelium")</f>
        <v>Dichanthelium</v>
      </c>
      <c r="P28" s="9" t="str">
        <f ca="1">IFERROR(__xludf.DUMMYFUNCTION("""COMPUTED_VALUE"""),"Crotalaria lanceolata")</f>
        <v>Crotalaria lanceolata</v>
      </c>
      <c r="Q28" s="9" t="str">
        <f ca="1">IFERROR(__xludf.DUMMYFUNCTION("""COMPUTED_VALUE"""),"Common/Soft Rush?")</f>
        <v>Common/Soft Rush?</v>
      </c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>
      <c r="A29" s="10">
        <v>2</v>
      </c>
      <c r="B29" s="7">
        <v>43798</v>
      </c>
      <c r="C29" s="10" t="s">
        <v>92</v>
      </c>
      <c r="D29" s="10">
        <v>4</v>
      </c>
      <c r="E29" s="10" t="s">
        <v>21</v>
      </c>
      <c r="F29" s="10" t="s">
        <v>72</v>
      </c>
      <c r="G29" s="10" t="s">
        <v>73</v>
      </c>
      <c r="H29" s="10" t="s">
        <v>74</v>
      </c>
      <c r="I29" s="10">
        <v>1</v>
      </c>
      <c r="J29" s="10">
        <v>4</v>
      </c>
      <c r="K29" s="9"/>
      <c r="L29" s="9"/>
      <c r="M29" s="9"/>
      <c r="N29" s="9" t="str">
        <f ca="1">IFERROR(__xludf.DUMMYFUNCTION("""COMPUTED_VALUE"""),"Lauraceae")</f>
        <v>Lauraceae</v>
      </c>
      <c r="O29" s="9" t="str">
        <f ca="1">IFERROR(__xludf.DUMMYFUNCTION("""COMPUTED_VALUE"""),"Diospyros ")</f>
        <v xml:space="preserve">Diospyros </v>
      </c>
      <c r="P29" s="9" t="str">
        <f ca="1">IFERROR(__xludf.DUMMYFUNCTION("""COMPUTED_VALUE"""),"Cynodon dactylon")</f>
        <v>Cynodon dactylon</v>
      </c>
      <c r="Q29" s="9" t="str">
        <f ca="1">IFERROR(__xludf.DUMMYFUNCTION("""COMPUTED_VALUE"""),"Coralbean")</f>
        <v>Coralbean</v>
      </c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>
      <c r="A30" s="10">
        <v>2</v>
      </c>
      <c r="B30" s="7">
        <v>43798</v>
      </c>
      <c r="C30" s="10" t="s">
        <v>92</v>
      </c>
      <c r="D30" s="10">
        <v>4</v>
      </c>
      <c r="E30" s="10" t="s">
        <v>63</v>
      </c>
      <c r="F30" s="10" t="s">
        <v>291</v>
      </c>
      <c r="G30" s="10" t="s">
        <v>292</v>
      </c>
      <c r="H30" s="10" t="s">
        <v>293</v>
      </c>
      <c r="I30" s="10">
        <v>2</v>
      </c>
      <c r="J30" s="10">
        <v>7</v>
      </c>
      <c r="K30" s="10"/>
      <c r="L30" s="10"/>
      <c r="M30" s="9"/>
      <c r="N30" s="9" t="str">
        <f ca="1">IFERROR(__xludf.DUMMYFUNCTION("""COMPUTED_VALUE"""),"Magnoliaceae")</f>
        <v>Magnoliaceae</v>
      </c>
      <c r="O30" s="9" t="str">
        <f ca="1">IFERROR(__xludf.DUMMYFUNCTION("""COMPUTED_VALUE"""),"Dyschoriste")</f>
        <v>Dyschoriste</v>
      </c>
      <c r="P30" s="9" t="str">
        <f ca="1">IFERROR(__xludf.DUMMYFUNCTION("""COMPUTED_VALUE"""),"Cyperus rotundus")</f>
        <v>Cyperus rotundus</v>
      </c>
      <c r="Q30" s="9" t="str">
        <f ca="1">IFERROR(__xludf.DUMMYFUNCTION("""COMPUTED_VALUE"""),"Cypress Vine")</f>
        <v>Cypress Vine</v>
      </c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>
      <c r="A31" s="10">
        <v>2</v>
      </c>
      <c r="B31" s="7">
        <v>43798</v>
      </c>
      <c r="C31" s="10" t="s">
        <v>92</v>
      </c>
      <c r="D31" s="10">
        <v>4</v>
      </c>
      <c r="E31" s="10" t="s">
        <v>55</v>
      </c>
      <c r="F31" s="10" t="s">
        <v>164</v>
      </c>
      <c r="G31" s="10" t="s">
        <v>165</v>
      </c>
      <c r="H31" s="10" t="s">
        <v>166</v>
      </c>
      <c r="I31" s="10">
        <v>2</v>
      </c>
      <c r="J31" s="10">
        <v>3</v>
      </c>
      <c r="K31" s="10"/>
      <c r="L31" s="10"/>
      <c r="M31" s="9"/>
      <c r="N31" s="9" t="str">
        <f ca="1">IFERROR(__xludf.DUMMYFUNCTION("""COMPUTED_VALUE"""),"Oxalidaceae")</f>
        <v>Oxalidaceae</v>
      </c>
      <c r="O31" s="9" t="str">
        <f ca="1">IFERROR(__xludf.DUMMYFUNCTION("""COMPUTED_VALUE"""),"Elephantopus")</f>
        <v>Elephantopus</v>
      </c>
      <c r="P31" s="9" t="str">
        <f ca="1">IFERROR(__xludf.DUMMYFUNCTION("""COMPUTED_VALUE"""),"Cyperus spp.")</f>
        <v>Cyperus spp.</v>
      </c>
      <c r="Q31" s="9" t="str">
        <f ca="1">IFERROR(__xludf.DUMMYFUNCTION("""COMPUTED_VALUE"""),"Deerberry")</f>
        <v>Deerberry</v>
      </c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>
      <c r="A32" s="10">
        <v>2</v>
      </c>
      <c r="B32" s="7">
        <v>43798</v>
      </c>
      <c r="C32" s="10" t="s">
        <v>92</v>
      </c>
      <c r="D32" s="10">
        <v>2</v>
      </c>
      <c r="E32" s="10" t="s">
        <v>55</v>
      </c>
      <c r="F32" s="10" t="s">
        <v>117</v>
      </c>
      <c r="G32" s="10" t="s">
        <v>328</v>
      </c>
      <c r="H32" s="10" t="s">
        <v>329</v>
      </c>
      <c r="I32" s="10">
        <v>2</v>
      </c>
      <c r="J32" s="10">
        <v>1</v>
      </c>
      <c r="K32" s="10"/>
      <c r="L32" s="10"/>
      <c r="M32" s="9"/>
      <c r="N32" s="9" t="str">
        <f ca="1">IFERROR(__xludf.DUMMYFUNCTION("""COMPUTED_VALUE"""),"Oxalidales")</f>
        <v>Oxalidales</v>
      </c>
      <c r="O32" s="9" t="str">
        <f ca="1">IFERROR(__xludf.DUMMYFUNCTION("""COMPUTED_VALUE"""),"Eragrostis")</f>
        <v>Eragrostis</v>
      </c>
      <c r="P32" s="9" t="str">
        <f ca="1">IFERROR(__xludf.DUMMYFUNCTION("""COMPUTED_VALUE"""),"Desmodium sp.")</f>
        <v>Desmodium sp.</v>
      </c>
      <c r="Q32" s="9" t="str">
        <f ca="1">IFERROR(__xludf.DUMMYFUNCTION("""COMPUTED_VALUE"""),"Devil's Walkingstick")</f>
        <v>Devil's Walkingstick</v>
      </c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>
      <c r="A33" s="10">
        <v>2</v>
      </c>
      <c r="B33" s="7">
        <v>43798</v>
      </c>
      <c r="C33" s="10" t="s">
        <v>92</v>
      </c>
      <c r="D33" s="10">
        <v>4</v>
      </c>
      <c r="E33" s="10" t="s">
        <v>55</v>
      </c>
      <c r="F33" s="10" t="s">
        <v>117</v>
      </c>
      <c r="G33" s="10" t="s">
        <v>330</v>
      </c>
      <c r="H33" s="10" t="s">
        <v>331</v>
      </c>
      <c r="I33" s="10">
        <v>1</v>
      </c>
      <c r="J33" s="10">
        <v>2</v>
      </c>
      <c r="K33" s="10"/>
      <c r="L33" s="10"/>
      <c r="M33" s="9"/>
      <c r="N33" s="9" t="str">
        <f ca="1">IFERROR(__xludf.DUMMYFUNCTION("""COMPUTED_VALUE"""),"Passifloraceae")</f>
        <v>Passifloraceae</v>
      </c>
      <c r="O33" s="9" t="str">
        <f ca="1">IFERROR(__xludf.DUMMYFUNCTION("""COMPUTED_VALUE"""),"Erythrina")</f>
        <v>Erythrina</v>
      </c>
      <c r="P33" s="9" t="str">
        <f ca="1">IFERROR(__xludf.DUMMYFUNCTION("""COMPUTED_VALUE"""),"Dichanthelium (Panicum) oligosinthes")</f>
        <v>Dichanthelium (Panicum) oligosinthes</v>
      </c>
      <c r="Q33" s="9" t="str">
        <f ca="1">IFERROR(__xludf.DUMMYFUNCTION("""COMPUTED_VALUE"""),"Dogfennel")</f>
        <v>Dogfennel</v>
      </c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>
      <c r="A34" s="10">
        <v>2</v>
      </c>
      <c r="B34" s="7">
        <v>43798</v>
      </c>
      <c r="C34" s="10" t="s">
        <v>92</v>
      </c>
      <c r="D34" s="10">
        <v>2</v>
      </c>
      <c r="E34" s="10" t="s">
        <v>55</v>
      </c>
      <c r="F34" s="10" t="s">
        <v>164</v>
      </c>
      <c r="G34" s="10" t="s">
        <v>332</v>
      </c>
      <c r="H34" s="10" t="s">
        <v>333</v>
      </c>
      <c r="I34" s="10">
        <v>1</v>
      </c>
      <c r="J34" s="10">
        <v>3</v>
      </c>
      <c r="K34" s="10"/>
      <c r="L34" s="10"/>
      <c r="M34" s="9"/>
      <c r="N34" s="9" t="str">
        <f ca="1">IFERROR(__xludf.DUMMYFUNCTION("""COMPUTED_VALUE"""),"Phyllanthaceae")</f>
        <v>Phyllanthaceae</v>
      </c>
      <c r="O34" s="9" t="str">
        <f ca="1">IFERROR(__xludf.DUMMYFUNCTION("""COMPUTED_VALUE"""),"Eupatorium")</f>
        <v>Eupatorium</v>
      </c>
      <c r="P34" s="9" t="str">
        <f ca="1">IFERROR(__xludf.DUMMYFUNCTION("""COMPUTED_VALUE"""),"Dichanthelium aciculare")</f>
        <v>Dichanthelium aciculare</v>
      </c>
      <c r="Q34" s="9" t="str">
        <f ca="1">IFERROR(__xludf.DUMMYFUNCTION("""COMPUTED_VALUE"""),"Eastern Milkpea")</f>
        <v>Eastern Milkpea</v>
      </c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>
      <c r="A35" s="10">
        <v>2</v>
      </c>
      <c r="B35" s="7">
        <v>43798</v>
      </c>
      <c r="C35" s="10" t="s">
        <v>92</v>
      </c>
      <c r="D35" s="10">
        <v>4</v>
      </c>
      <c r="E35" s="10" t="s">
        <v>77</v>
      </c>
      <c r="F35" s="10" t="s">
        <v>78</v>
      </c>
      <c r="G35" s="10" t="s">
        <v>79</v>
      </c>
      <c r="H35" s="10" t="s">
        <v>80</v>
      </c>
      <c r="I35" s="10">
        <v>1</v>
      </c>
      <c r="J35" s="10">
        <v>5</v>
      </c>
      <c r="K35" s="9"/>
      <c r="L35" s="9"/>
      <c r="M35" s="9"/>
      <c r="N35" s="9" t="str">
        <f ca="1">IFERROR(__xludf.DUMMYFUNCTION("""COMPUTED_VALUE"""),"Pinaceae")</f>
        <v>Pinaceae</v>
      </c>
      <c r="O35" s="9" t="str">
        <f ca="1">IFERROR(__xludf.DUMMYFUNCTION("""COMPUTED_VALUE"""),"Euphorbia")</f>
        <v>Euphorbia</v>
      </c>
      <c r="P35" s="9" t="str">
        <f ca="1">IFERROR(__xludf.DUMMYFUNCTION("""COMPUTED_VALUE"""),"Dichanthelium sp.")</f>
        <v>Dichanthelium sp.</v>
      </c>
      <c r="Q35" s="9" t="str">
        <f ca="1">IFERROR(__xludf.DUMMYFUNCTION("""COMPUTED_VALUE"""),"Elliots's Love Grass")</f>
        <v>Elliots's Love Grass</v>
      </c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>
      <c r="A36" s="10">
        <v>2</v>
      </c>
      <c r="B36" s="7">
        <v>43798</v>
      </c>
      <c r="C36" s="10" t="s">
        <v>92</v>
      </c>
      <c r="D36" s="10">
        <v>4</v>
      </c>
      <c r="E36" s="10" t="s">
        <v>170</v>
      </c>
      <c r="F36" s="10" t="s">
        <v>171</v>
      </c>
      <c r="G36" s="10" t="s">
        <v>172</v>
      </c>
      <c r="H36" s="10" t="s">
        <v>173</v>
      </c>
      <c r="I36" s="10">
        <v>1</v>
      </c>
      <c r="J36" s="10">
        <v>3</v>
      </c>
      <c r="K36" s="9"/>
      <c r="L36" s="9"/>
      <c r="M36" s="9"/>
      <c r="N36" s="9" t="str">
        <f ca="1">IFERROR(__xludf.DUMMYFUNCTION("""COMPUTED_VALUE"""),"Poaceae")</f>
        <v>Poaceae</v>
      </c>
      <c r="O36" s="9" t="str">
        <f ca="1">IFERROR(__xludf.DUMMYFUNCTION("""COMPUTED_VALUE"""),"Galactia")</f>
        <v>Galactia</v>
      </c>
      <c r="P36" s="9" t="str">
        <f ca="1">IFERROR(__xludf.DUMMYFUNCTION("""COMPUTED_VALUE"""),"Dichanthelium spp.")</f>
        <v>Dichanthelium spp.</v>
      </c>
      <c r="Q36" s="9" t="str">
        <f ca="1">IFERROR(__xludf.DUMMYFUNCTION("""COMPUTED_VALUE"""),"Elliott's Bluestem")</f>
        <v>Elliott's Bluestem</v>
      </c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>
      <c r="A37" s="10">
        <v>2</v>
      </c>
      <c r="B37" s="7">
        <v>43798</v>
      </c>
      <c r="C37" s="10" t="s">
        <v>92</v>
      </c>
      <c r="D37" s="10">
        <v>3</v>
      </c>
      <c r="E37" s="10" t="s">
        <v>145</v>
      </c>
      <c r="F37" s="10" t="s">
        <v>174</v>
      </c>
      <c r="G37" s="10" t="s">
        <v>334</v>
      </c>
      <c r="H37" s="10" t="s">
        <v>176</v>
      </c>
      <c r="I37" s="10">
        <v>1</v>
      </c>
      <c r="J37" s="10">
        <v>1</v>
      </c>
      <c r="K37" s="9"/>
      <c r="L37" s="9"/>
      <c r="M37" s="9"/>
      <c r="N37" s="9" t="str">
        <f ca="1">IFERROR(__xludf.DUMMYFUNCTION("""COMPUTED_VALUE"""),"Ranunculaceae")</f>
        <v>Ranunculaceae</v>
      </c>
      <c r="O37" s="9" t="str">
        <f ca="1">IFERROR(__xludf.DUMMYFUNCTION("""COMPUTED_VALUE"""),"Galium")</f>
        <v>Galium</v>
      </c>
      <c r="P37" s="9" t="str">
        <f ca="1">IFERROR(__xludf.DUMMYFUNCTION("""COMPUTED_VALUE"""),"Diospyros virginiana")</f>
        <v>Diospyros virginiana</v>
      </c>
      <c r="Q37" s="9" t="str">
        <f ca="1">IFERROR(__xludf.DUMMYFUNCTION("""COMPUTED_VALUE"""),"Fiddler's Spurge")</f>
        <v>Fiddler's Spurge</v>
      </c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>
      <c r="A38" s="10">
        <v>2</v>
      </c>
      <c r="B38" s="7">
        <v>43798</v>
      </c>
      <c r="C38" s="10" t="s">
        <v>92</v>
      </c>
      <c r="D38" s="10">
        <v>4</v>
      </c>
      <c r="E38" s="10" t="s">
        <v>25</v>
      </c>
      <c r="F38" s="10" t="s">
        <v>179</v>
      </c>
      <c r="G38" s="10" t="s">
        <v>180</v>
      </c>
      <c r="H38" s="10" t="s">
        <v>181</v>
      </c>
      <c r="I38" s="10">
        <v>2</v>
      </c>
      <c r="J38" s="10">
        <v>2</v>
      </c>
      <c r="K38" s="9"/>
      <c r="L38" s="9"/>
      <c r="M38" s="9"/>
      <c r="N38" s="9" t="str">
        <f ca="1">IFERROR(__xludf.DUMMYFUNCTION("""COMPUTED_VALUE"""),"Rosaceae")</f>
        <v>Rosaceae</v>
      </c>
      <c r="O38" s="9" t="str">
        <f ca="1">IFERROR(__xludf.DUMMYFUNCTION("""COMPUTED_VALUE"""),"Gelsemium")</f>
        <v>Gelsemium</v>
      </c>
      <c r="P38" s="9" t="str">
        <f ca="1">IFERROR(__xludf.DUMMYFUNCTION("""COMPUTED_VALUE"""),"Dyschoriste oblongifolia")</f>
        <v>Dyschoriste oblongifolia</v>
      </c>
      <c r="Q38" s="9" t="str">
        <f ca="1">IFERROR(__xludf.DUMMYFUNCTION("""COMPUTED_VALUE"""),"Florida Betony")</f>
        <v>Florida Betony</v>
      </c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>
      <c r="A39" s="10">
        <v>2</v>
      </c>
      <c r="B39" s="7">
        <v>43798</v>
      </c>
      <c r="C39" s="10" t="s">
        <v>92</v>
      </c>
      <c r="D39" s="10">
        <v>2</v>
      </c>
      <c r="E39" s="10" t="s">
        <v>149</v>
      </c>
      <c r="F39" s="10" t="s">
        <v>335</v>
      </c>
      <c r="G39" s="10" t="s">
        <v>336</v>
      </c>
      <c r="H39" s="10" t="s">
        <v>337</v>
      </c>
      <c r="I39" s="10">
        <v>1</v>
      </c>
      <c r="J39" s="10">
        <v>1</v>
      </c>
      <c r="K39" s="9"/>
      <c r="L39" s="9"/>
      <c r="M39" s="9"/>
      <c r="N39" s="9" t="str">
        <f ca="1">IFERROR(__xludf.DUMMYFUNCTION("""COMPUTED_VALUE"""),"Rubiaceae")</f>
        <v>Rubiaceae</v>
      </c>
      <c r="O39" s="9" t="str">
        <f ca="1">IFERROR(__xludf.DUMMYFUNCTION("""COMPUTED_VALUE"""),"Geranium")</f>
        <v>Geranium</v>
      </c>
      <c r="P39" s="9" t="str">
        <f ca="1">IFERROR(__xludf.DUMMYFUNCTION("""COMPUTED_VALUE"""),"Elephantopus elatus")</f>
        <v>Elephantopus elatus</v>
      </c>
      <c r="Q39" s="9" t="str">
        <f ca="1">IFERROR(__xludf.DUMMYFUNCTION("""COMPUTED_VALUE"""),"Florida betony")</f>
        <v>Florida betony</v>
      </c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>
      <c r="A40" s="10">
        <v>2</v>
      </c>
      <c r="B40" s="7">
        <v>43798</v>
      </c>
      <c r="C40" s="10" t="s">
        <v>92</v>
      </c>
      <c r="D40" s="10">
        <v>2</v>
      </c>
      <c r="E40" s="10" t="s">
        <v>55</v>
      </c>
      <c r="F40" s="10" t="s">
        <v>215</v>
      </c>
      <c r="G40" s="10" t="s">
        <v>338</v>
      </c>
      <c r="H40" s="10" t="s">
        <v>339</v>
      </c>
      <c r="I40" s="10">
        <v>1</v>
      </c>
      <c r="J40" s="10">
        <v>1</v>
      </c>
      <c r="K40" s="9"/>
      <c r="L40" s="9"/>
      <c r="M40" s="9"/>
      <c r="N40" s="9" t="str">
        <f ca="1">IFERROR(__xludf.DUMMYFUNCTION("""COMPUTED_VALUE"""),"Rubieae")</f>
        <v>Rubieae</v>
      </c>
      <c r="O40" s="9" t="str">
        <f ca="1">IFERROR(__xludf.DUMMYFUNCTION("""COMPUTED_VALUE"""),"Helianthus")</f>
        <v>Helianthus</v>
      </c>
      <c r="P40" s="9" t="str">
        <f ca="1">IFERROR(__xludf.DUMMYFUNCTION("""COMPUTED_VALUE"""),"Eragrostis elliottii")</f>
        <v>Eragrostis elliottii</v>
      </c>
      <c r="Q40" s="9" t="str">
        <f ca="1">IFERROR(__xludf.DUMMYFUNCTION("""COMPUTED_VALUE"""),"Foxtail")</f>
        <v>Foxtail</v>
      </c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>
      <c r="A41" s="10">
        <v>2</v>
      </c>
      <c r="B41" s="7">
        <v>43798</v>
      </c>
      <c r="C41" s="10" t="s">
        <v>92</v>
      </c>
      <c r="D41" s="10">
        <v>2</v>
      </c>
      <c r="E41" s="10" t="s">
        <v>44</v>
      </c>
      <c r="F41" s="10" t="s">
        <v>45</v>
      </c>
      <c r="G41" s="10" t="s">
        <v>340</v>
      </c>
      <c r="H41" s="10" t="s">
        <v>341</v>
      </c>
      <c r="I41" s="10">
        <v>1</v>
      </c>
      <c r="J41" s="10">
        <v>0</v>
      </c>
      <c r="K41" s="9"/>
      <c r="L41" s="9"/>
      <c r="M41" s="9"/>
      <c r="N41" s="9" t="str">
        <f ca="1">IFERROR(__xludf.DUMMYFUNCTION("""COMPUTED_VALUE"""),"Smilacaceae")</f>
        <v>Smilacaceae</v>
      </c>
      <c r="O41" s="9" t="str">
        <f ca="1">IFERROR(__xludf.DUMMYFUNCTION("""COMPUTED_VALUE"""),"Hieracium")</f>
        <v>Hieracium</v>
      </c>
      <c r="P41" s="9" t="str">
        <f ca="1">IFERROR(__xludf.DUMMYFUNCTION("""COMPUTED_VALUE"""),"Erythrina herbacea")</f>
        <v>Erythrina herbacea</v>
      </c>
      <c r="Q41" s="9" t="str">
        <f ca="1">IFERROR(__xludf.DUMMYFUNCTION("""COMPUTED_VALUE"""),"Goldenrod")</f>
        <v>Goldenrod</v>
      </c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>
      <c r="A42" s="10">
        <v>2</v>
      </c>
      <c r="B42" s="7">
        <v>43798</v>
      </c>
      <c r="C42" s="10" t="s">
        <v>92</v>
      </c>
      <c r="D42" s="10">
        <v>4</v>
      </c>
      <c r="E42" s="10" t="s">
        <v>342</v>
      </c>
      <c r="F42" s="10" t="s">
        <v>343</v>
      </c>
      <c r="G42" s="10" t="s">
        <v>344</v>
      </c>
      <c r="H42" s="10" t="s">
        <v>345</v>
      </c>
      <c r="I42" s="10">
        <v>1</v>
      </c>
      <c r="J42" s="10">
        <v>1</v>
      </c>
      <c r="K42" s="9"/>
      <c r="L42" s="9"/>
      <c r="M42" s="9"/>
      <c r="N42" s="9" t="str">
        <f ca="1">IFERROR(__xludf.DUMMYFUNCTION("""COMPUTED_VALUE"""),"Verbanaceae")</f>
        <v>Verbanaceae</v>
      </c>
      <c r="O42" s="9" t="str">
        <f ca="1">IFERROR(__xludf.DUMMYFUNCTION("""COMPUTED_VALUE"""),"Houstonia")</f>
        <v>Houstonia</v>
      </c>
      <c r="P42" s="9" t="str">
        <f ca="1">IFERROR(__xludf.DUMMYFUNCTION("""COMPUTED_VALUE"""),"Eupatorium capillifolium")</f>
        <v>Eupatorium capillifolium</v>
      </c>
      <c r="Q42" s="9" t="str">
        <f ca="1">IFERROR(__xludf.DUMMYFUNCTION("""COMPUTED_VALUE"""),"Grapevine")</f>
        <v>Grapevine</v>
      </c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>
      <c r="A43" s="10">
        <v>2</v>
      </c>
      <c r="B43" s="7">
        <v>43798</v>
      </c>
      <c r="C43" s="10" t="s">
        <v>92</v>
      </c>
      <c r="D43" s="10">
        <v>4</v>
      </c>
      <c r="E43" s="10" t="s">
        <v>51</v>
      </c>
      <c r="F43" s="10" t="s">
        <v>346</v>
      </c>
      <c r="G43" s="10" t="s">
        <v>347</v>
      </c>
      <c r="H43" s="10" t="s">
        <v>348</v>
      </c>
      <c r="I43" s="10">
        <v>1</v>
      </c>
      <c r="J43" s="10">
        <v>1</v>
      </c>
      <c r="K43" s="9"/>
      <c r="L43" s="9"/>
      <c r="M43" s="9"/>
      <c r="N43" s="9" t="str">
        <f ca="1">IFERROR(__xludf.DUMMYFUNCTION("""COMPUTED_VALUE"""),"Vitaceae")</f>
        <v>Vitaceae</v>
      </c>
      <c r="O43" s="9" t="str">
        <f ca="1">IFERROR(__xludf.DUMMYFUNCTION("""COMPUTED_VALUE"""),"Houstonia ")</f>
        <v xml:space="preserve">Houstonia </v>
      </c>
      <c r="P43" s="9" t="str">
        <f ca="1">IFERROR(__xludf.DUMMYFUNCTION("""COMPUTED_VALUE"""),"Euphorbia heterophylla")</f>
        <v>Euphorbia heterophylla</v>
      </c>
      <c r="Q43" s="9" t="str">
        <f ca="1">IFERROR(__xludf.DUMMYFUNCTION("""COMPUTED_VALUE"""),"Guineagrass ")</f>
        <v xml:space="preserve">Guineagrass </v>
      </c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>
      <c r="A44" s="10">
        <v>2</v>
      </c>
      <c r="B44" s="7">
        <v>43798</v>
      </c>
      <c r="C44" s="10" t="s">
        <v>92</v>
      </c>
      <c r="D44" s="10">
        <v>1</v>
      </c>
      <c r="E44" s="10" t="s">
        <v>25</v>
      </c>
      <c r="F44" s="10" t="s">
        <v>349</v>
      </c>
      <c r="G44" s="10" t="s">
        <v>350</v>
      </c>
      <c r="H44" s="10" t="s">
        <v>351</v>
      </c>
      <c r="I44" s="10">
        <v>1</v>
      </c>
      <c r="J44" s="10">
        <v>2</v>
      </c>
      <c r="K44" s="9"/>
      <c r="L44" s="9"/>
      <c r="M44" s="9"/>
      <c r="N44" s="9"/>
      <c r="O44" s="9" t="str">
        <f ca="1">IFERROR(__xludf.DUMMYFUNCTION("""COMPUTED_VALUE"""),"Hypericum")</f>
        <v>Hypericum</v>
      </c>
      <c r="P44" s="9" t="str">
        <f ca="1">IFERROR(__xludf.DUMMYFUNCTION("""COMPUTED_VALUE"""),"Euphorbia sp.")</f>
        <v>Euphorbia sp.</v>
      </c>
      <c r="Q44" s="9" t="str">
        <f ca="1">IFERROR(__xludf.DUMMYFUNCTION("""COMPUTED_VALUE"""),"Hair Sedge")</f>
        <v>Hair Sedge</v>
      </c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>
      <c r="A45" s="10">
        <v>2</v>
      </c>
      <c r="B45" s="7">
        <v>43798</v>
      </c>
      <c r="C45" s="10" t="s">
        <v>92</v>
      </c>
      <c r="D45" s="10">
        <v>4</v>
      </c>
      <c r="E45" s="10" t="s">
        <v>205</v>
      </c>
      <c r="F45" s="10" t="s">
        <v>206</v>
      </c>
      <c r="G45" s="10" t="s">
        <v>207</v>
      </c>
      <c r="H45" s="10" t="s">
        <v>208</v>
      </c>
      <c r="I45" s="10">
        <v>1</v>
      </c>
      <c r="J45" s="10">
        <v>2</v>
      </c>
      <c r="K45" s="9"/>
      <c r="L45" s="9"/>
      <c r="M45" s="9"/>
      <c r="N45" s="9"/>
      <c r="O45" s="9" t="str">
        <f ca="1">IFERROR(__xludf.DUMMYFUNCTION("""COMPUTED_VALUE"""),"Indigofera")</f>
        <v>Indigofera</v>
      </c>
      <c r="P45" s="9" t="str">
        <f ca="1">IFERROR(__xludf.DUMMYFUNCTION("""COMPUTED_VALUE"""),"Galactia regularis")</f>
        <v>Galactia regularis</v>
      </c>
      <c r="Q45" s="9" t="str">
        <f ca="1">IFERROR(__xludf.DUMMYFUNCTION("""COMPUTED_VALUE"""),"Hairy Indigo")</f>
        <v>Hairy Indigo</v>
      </c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>
      <c r="A46" s="10">
        <v>2</v>
      </c>
      <c r="B46" s="7">
        <v>43798</v>
      </c>
      <c r="C46" s="10" t="s">
        <v>92</v>
      </c>
      <c r="D46" s="10">
        <v>2</v>
      </c>
      <c r="E46" s="10" t="s">
        <v>352</v>
      </c>
      <c r="F46" s="10" t="s">
        <v>353</v>
      </c>
      <c r="G46" s="10" t="s">
        <v>354</v>
      </c>
      <c r="H46" s="10" t="s">
        <v>159</v>
      </c>
      <c r="I46" s="10">
        <v>1</v>
      </c>
      <c r="J46" s="10">
        <v>1</v>
      </c>
      <c r="K46" s="9"/>
      <c r="L46" s="9"/>
      <c r="M46" s="9"/>
      <c r="N46" s="9"/>
      <c r="O46" s="9" t="str">
        <f ca="1">IFERROR(__xludf.DUMMYFUNCTION("""COMPUTED_VALUE"""),"Ipomea")</f>
        <v>Ipomea</v>
      </c>
      <c r="P46" s="9" t="str">
        <f ca="1">IFERROR(__xludf.DUMMYFUNCTION("""COMPUTED_VALUE"""),"Galium sp")</f>
        <v>Galium sp</v>
      </c>
      <c r="Q46" s="9" t="str">
        <f ca="1">IFERROR(__xludf.DUMMYFUNCTION("""COMPUTED_VALUE"""),"Hammock Snakeroot")</f>
        <v>Hammock Snakeroot</v>
      </c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>
      <c r="A47" s="10">
        <v>2</v>
      </c>
      <c r="B47" s="7">
        <v>43798</v>
      </c>
      <c r="C47" s="10" t="s">
        <v>92</v>
      </c>
      <c r="D47" s="10">
        <v>4</v>
      </c>
      <c r="E47" s="10" t="s">
        <v>25</v>
      </c>
      <c r="F47" s="10" t="s">
        <v>48</v>
      </c>
      <c r="G47" s="10" t="s">
        <v>49</v>
      </c>
      <c r="H47" s="10" t="s">
        <v>355</v>
      </c>
      <c r="I47" s="10">
        <v>1</v>
      </c>
      <c r="J47" s="10">
        <v>3</v>
      </c>
      <c r="K47" s="9"/>
      <c r="L47" s="9"/>
      <c r="M47" s="9"/>
      <c r="N47" s="9"/>
      <c r="O47" s="9" t="str">
        <f ca="1">IFERROR(__xludf.DUMMYFUNCTION("""COMPUTED_VALUE"""),"Ipomoea")</f>
        <v>Ipomoea</v>
      </c>
      <c r="P47" s="9" t="str">
        <f ca="1">IFERROR(__xludf.DUMMYFUNCTION("""COMPUTED_VALUE"""),"Galium sp.")</f>
        <v>Galium sp.</v>
      </c>
      <c r="Q47" s="9" t="str">
        <f ca="1">IFERROR(__xludf.DUMMYFUNCTION("""COMPUTED_VALUE"""),"Innocence")</f>
        <v>Innocence</v>
      </c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>
      <c r="A48" s="10">
        <v>2</v>
      </c>
      <c r="B48" s="7">
        <v>43798</v>
      </c>
      <c r="C48" s="10" t="s">
        <v>92</v>
      </c>
      <c r="D48" s="10">
        <v>2</v>
      </c>
      <c r="E48" s="10" t="s">
        <v>25</v>
      </c>
      <c r="F48" s="10" t="s">
        <v>356</v>
      </c>
      <c r="G48" s="10" t="s">
        <v>357</v>
      </c>
      <c r="H48" s="10" t="s">
        <v>28</v>
      </c>
      <c r="I48" s="10">
        <v>1</v>
      </c>
      <c r="J48" s="10">
        <v>2</v>
      </c>
      <c r="K48" s="9"/>
      <c r="L48" s="9"/>
      <c r="M48" s="9"/>
      <c r="N48" s="9"/>
      <c r="O48" s="9" t="str">
        <f ca="1">IFERROR(__xludf.DUMMYFUNCTION("""COMPUTED_VALUE"""),"Juncus")</f>
        <v>Juncus</v>
      </c>
      <c r="P48" s="9" t="str">
        <f ca="1">IFERROR(__xludf.DUMMYFUNCTION("""COMPUTED_VALUE"""),"Gelsemium sempervirens")</f>
        <v>Gelsemium sempervirens</v>
      </c>
      <c r="Q48" s="9" t="str">
        <f ca="1">IFERROR(__xludf.DUMMYFUNCTION("""COMPUTED_VALUE"""),"Johnson Grass")</f>
        <v>Johnson Grass</v>
      </c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>
      <c r="A49" s="10">
        <v>2</v>
      </c>
      <c r="B49" s="7">
        <v>43798</v>
      </c>
      <c r="C49" s="10" t="s">
        <v>92</v>
      </c>
      <c r="D49" s="10">
        <v>4</v>
      </c>
      <c r="E49" s="10" t="s">
        <v>51</v>
      </c>
      <c r="F49" s="10" t="s">
        <v>52</v>
      </c>
      <c r="G49" s="10" t="s">
        <v>53</v>
      </c>
      <c r="H49" s="10" t="s">
        <v>54</v>
      </c>
      <c r="I49" s="10">
        <v>1</v>
      </c>
      <c r="J49" s="10">
        <v>4</v>
      </c>
      <c r="K49" s="9"/>
      <c r="L49" s="9"/>
      <c r="M49" s="9"/>
      <c r="N49" s="9"/>
      <c r="O49" s="9" t="str">
        <f ca="1">IFERROR(__xludf.DUMMYFUNCTION("""COMPUTED_VALUE"""),"Latuca")</f>
        <v>Latuca</v>
      </c>
      <c r="P49" s="9" t="str">
        <f ca="1">IFERROR(__xludf.DUMMYFUNCTION("""COMPUTED_VALUE"""),"Geranium carolinianum")</f>
        <v>Geranium carolinianum</v>
      </c>
      <c r="Q49" s="9" t="str">
        <f ca="1">IFERROR(__xludf.DUMMYFUNCTION("""COMPUTED_VALUE"""),"Johnson grass")</f>
        <v>Johnson grass</v>
      </c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>
      <c r="A50" s="9">
        <v>2</v>
      </c>
      <c r="B50" s="11">
        <v>43809</v>
      </c>
      <c r="C50" s="9" t="s">
        <v>182</v>
      </c>
      <c r="D50" s="9">
        <v>1</v>
      </c>
      <c r="E50" s="9" t="s">
        <v>75</v>
      </c>
      <c r="F50" s="9" t="s">
        <v>75</v>
      </c>
      <c r="G50" s="10" t="s">
        <v>358</v>
      </c>
      <c r="H50" s="9" t="s">
        <v>75</v>
      </c>
      <c r="I50" s="9">
        <v>5</v>
      </c>
      <c r="J50" s="9">
        <v>1</v>
      </c>
      <c r="K50" s="9"/>
      <c r="L50" s="9"/>
      <c r="M50" s="9"/>
      <c r="N50" s="9"/>
      <c r="O50" s="9" t="str">
        <f ca="1">IFERROR(__xludf.DUMMYFUNCTION("""COMPUTED_VALUE"""),"Liquidambar")</f>
        <v>Liquidambar</v>
      </c>
      <c r="P50" s="9" t="str">
        <f ca="1">IFERROR(__xludf.DUMMYFUNCTION("""COMPUTED_VALUE"""),"Helianthus sp.")</f>
        <v>Helianthus sp.</v>
      </c>
      <c r="Q50" s="9" t="str">
        <f ca="1">IFERROR(__xludf.DUMMYFUNCTION("""COMPUTED_VALUE"""),"Lanceleaf Rattlebox ")</f>
        <v xml:space="preserve">Lanceleaf Rattlebox </v>
      </c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>
      <c r="A51" s="9">
        <v>2</v>
      </c>
      <c r="B51" s="11">
        <v>43802</v>
      </c>
      <c r="C51" s="9" t="s">
        <v>182</v>
      </c>
      <c r="D51" s="9">
        <v>4</v>
      </c>
      <c r="E51" s="9" t="s">
        <v>21</v>
      </c>
      <c r="F51" s="9" t="s">
        <v>22</v>
      </c>
      <c r="G51" s="9" t="s">
        <v>23</v>
      </c>
      <c r="H51" s="9" t="s">
        <v>24</v>
      </c>
      <c r="I51" s="9">
        <v>3</v>
      </c>
      <c r="J51" s="9">
        <v>7</v>
      </c>
      <c r="K51" s="9"/>
      <c r="L51" s="9"/>
      <c r="M51" s="9"/>
      <c r="N51" s="9"/>
      <c r="O51" s="9" t="str">
        <f ca="1">IFERROR(__xludf.DUMMYFUNCTION("""COMPUTED_VALUE"""),"Magnolia")</f>
        <v>Magnolia</v>
      </c>
      <c r="P51" s="9" t="str">
        <f ca="1">IFERROR(__xludf.DUMMYFUNCTION("""COMPUTED_VALUE"""),"Hieracium megacephalon")</f>
        <v>Hieracium megacephalon</v>
      </c>
      <c r="Q51" s="9" t="str">
        <f ca="1">IFERROR(__xludf.DUMMYFUNCTION("""COMPUTED_VALUE"""),"Laurel Cherry")</f>
        <v>Laurel Cherry</v>
      </c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>
      <c r="A52" s="9">
        <v>2</v>
      </c>
      <c r="B52" s="11">
        <v>43802</v>
      </c>
      <c r="C52" s="9" t="s">
        <v>182</v>
      </c>
      <c r="D52" s="9">
        <v>4</v>
      </c>
      <c r="E52" s="9" t="s">
        <v>25</v>
      </c>
      <c r="F52" s="9" t="s">
        <v>33</v>
      </c>
      <c r="G52" s="9" t="s">
        <v>34</v>
      </c>
      <c r="H52" s="9" t="s">
        <v>35</v>
      </c>
      <c r="I52" s="9">
        <v>2</v>
      </c>
      <c r="J52" s="9">
        <v>5</v>
      </c>
      <c r="K52" s="9"/>
      <c r="L52" s="9"/>
      <c r="M52" s="9"/>
      <c r="N52" s="9"/>
      <c r="O52" s="9" t="str">
        <f ca="1">IFERROR(__xludf.DUMMYFUNCTION("""COMPUTED_VALUE"""),"Megathyrsus ")</f>
        <v xml:space="preserve">Megathyrsus </v>
      </c>
      <c r="P52" s="9" t="str">
        <f ca="1">IFERROR(__xludf.DUMMYFUNCTION("""COMPUTED_VALUE"""),"Houstonia procumbens")</f>
        <v>Houstonia procumbens</v>
      </c>
      <c r="Q52" s="9" t="str">
        <f ca="1">IFERROR(__xludf.DUMMYFUNCTION("""COMPUTED_VALUE"""),"Laurel Greenbrier")</f>
        <v>Laurel Greenbrier</v>
      </c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>
      <c r="A53" s="9">
        <v>2</v>
      </c>
      <c r="B53" s="11">
        <v>43802</v>
      </c>
      <c r="C53" s="9" t="s">
        <v>182</v>
      </c>
      <c r="D53" s="9">
        <v>4</v>
      </c>
      <c r="E53" s="9" t="s">
        <v>25</v>
      </c>
      <c r="F53" s="9" t="s">
        <v>101</v>
      </c>
      <c r="G53" s="9" t="s">
        <v>102</v>
      </c>
      <c r="H53" s="9" t="s">
        <v>103</v>
      </c>
      <c r="I53" s="9">
        <v>1</v>
      </c>
      <c r="J53" s="9">
        <v>1</v>
      </c>
      <c r="K53" s="9"/>
      <c r="L53" s="9"/>
      <c r="M53" s="9"/>
      <c r="N53" s="9"/>
      <c r="O53" s="9" t="str">
        <f ca="1">IFERROR(__xludf.DUMMYFUNCTION("""COMPUTED_VALUE"""),"Mitchella")</f>
        <v>Mitchella</v>
      </c>
      <c r="P53" s="9" t="str">
        <f ca="1">IFERROR(__xludf.DUMMYFUNCTION("""COMPUTED_VALUE"""),"Hypericum sp.")</f>
        <v>Hypericum sp.</v>
      </c>
      <c r="Q53" s="9" t="str">
        <f ca="1">IFERROR(__xludf.DUMMYFUNCTION("""COMPUTED_VALUE"""),"Laurelleaf Greenbrier")</f>
        <v>Laurelleaf Greenbrier</v>
      </c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>
      <c r="A54" s="9">
        <v>2</v>
      </c>
      <c r="B54" s="11">
        <v>43802</v>
      </c>
      <c r="C54" s="9" t="s">
        <v>182</v>
      </c>
      <c r="D54" s="9">
        <v>3</v>
      </c>
      <c r="E54" s="9" t="s">
        <v>81</v>
      </c>
      <c r="F54" s="9" t="s">
        <v>82</v>
      </c>
      <c r="G54" s="9" t="s">
        <v>83</v>
      </c>
      <c r="H54" s="9" t="s">
        <v>82</v>
      </c>
      <c r="I54" s="9">
        <v>3</v>
      </c>
      <c r="J54" s="9">
        <v>8</v>
      </c>
      <c r="K54" s="9"/>
      <c r="L54" s="9"/>
      <c r="M54" s="9"/>
      <c r="N54" s="9"/>
      <c r="O54" s="9" t="str">
        <f ca="1">IFERROR(__xludf.DUMMYFUNCTION("""COMPUTED_VALUE"""),"Oplismenus")</f>
        <v>Oplismenus</v>
      </c>
      <c r="P54" s="9" t="str">
        <f ca="1">IFERROR(__xludf.DUMMYFUNCTION("""COMPUTED_VALUE"""),"Indigofera hirsuta")</f>
        <v>Indigofera hirsuta</v>
      </c>
      <c r="Q54" s="9" t="str">
        <f ca="1">IFERROR(__xludf.DUMMYFUNCTION("""COMPUTED_VALUE"""),"Lettuce")</f>
        <v>Lettuce</v>
      </c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>
      <c r="A55" s="9">
        <v>2</v>
      </c>
      <c r="B55" s="11">
        <v>43802</v>
      </c>
      <c r="C55" s="9" t="s">
        <v>182</v>
      </c>
      <c r="D55" s="9">
        <v>2</v>
      </c>
      <c r="E55" s="9" t="s">
        <v>25</v>
      </c>
      <c r="F55" s="9" t="s">
        <v>26</v>
      </c>
      <c r="G55" s="9" t="s">
        <v>27</v>
      </c>
      <c r="H55" s="9" t="s">
        <v>28</v>
      </c>
      <c r="I55" s="9">
        <v>4</v>
      </c>
      <c r="J55" s="9">
        <v>7</v>
      </c>
      <c r="K55" s="9"/>
      <c r="L55" s="9"/>
      <c r="M55" s="9"/>
      <c r="N55" s="9"/>
      <c r="O55" s="9" t="str">
        <f ca="1">IFERROR(__xludf.DUMMYFUNCTION("""COMPUTED_VALUE"""),"Oxalis")</f>
        <v>Oxalis</v>
      </c>
      <c r="P55" s="9" t="str">
        <f ca="1">IFERROR(__xludf.DUMMYFUNCTION("""COMPUTED_VALUE"""),"Ipomea sp.")</f>
        <v>Ipomea sp.</v>
      </c>
      <c r="Q55" s="9" t="str">
        <f ca="1">IFERROR(__xludf.DUMMYFUNCTION("""COMPUTED_VALUE"""),"Live Oak")</f>
        <v>Live Oak</v>
      </c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>
      <c r="A56" s="9">
        <v>2</v>
      </c>
      <c r="B56" s="11">
        <v>43802</v>
      </c>
      <c r="C56" s="9" t="s">
        <v>182</v>
      </c>
      <c r="D56" s="9">
        <v>1</v>
      </c>
      <c r="E56" s="9" t="s">
        <v>40</v>
      </c>
      <c r="F56" s="9" t="s">
        <v>41</v>
      </c>
      <c r="G56" s="9" t="s">
        <v>42</v>
      </c>
      <c r="H56" s="9" t="s">
        <v>43</v>
      </c>
      <c r="I56" s="9">
        <v>3</v>
      </c>
      <c r="J56" s="9">
        <v>5</v>
      </c>
      <c r="K56" s="9"/>
      <c r="L56" s="9"/>
      <c r="M56" s="9"/>
      <c r="N56" s="9"/>
      <c r="O56" s="9" t="str">
        <f ca="1">IFERROR(__xludf.DUMMYFUNCTION("""COMPUTED_VALUE"""),"Panicum")</f>
        <v>Panicum</v>
      </c>
      <c r="P56" s="9" t="str">
        <f ca="1">IFERROR(__xludf.DUMMYFUNCTION("""COMPUTED_VALUE"""),"Ipomoea quamoclit")</f>
        <v>Ipomoea quamoclit</v>
      </c>
      <c r="Q56" s="9" t="str">
        <f ca="1">IFERROR(__xludf.DUMMYFUNCTION("""COMPUTED_VALUE"""),"Loblolly")</f>
        <v>Loblolly</v>
      </c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>
      <c r="A57" s="9">
        <v>2</v>
      </c>
      <c r="B57" s="11">
        <v>43802</v>
      </c>
      <c r="C57" s="9" t="s">
        <v>182</v>
      </c>
      <c r="D57" s="9">
        <v>4</v>
      </c>
      <c r="E57" s="9" t="s">
        <v>51</v>
      </c>
      <c r="F57" s="9" t="s">
        <v>52</v>
      </c>
      <c r="G57" s="9" t="s">
        <v>53</v>
      </c>
      <c r="H57" s="9" t="s">
        <v>54</v>
      </c>
      <c r="I57" s="9">
        <v>3</v>
      </c>
      <c r="J57" s="9">
        <v>6</v>
      </c>
      <c r="K57" s="9"/>
      <c r="L57" s="9"/>
      <c r="M57" s="9"/>
      <c r="N57" s="9"/>
      <c r="O57" s="9" t="str">
        <f ca="1">IFERROR(__xludf.DUMMYFUNCTION("""COMPUTED_VALUE"""),"Parthenocissus")</f>
        <v>Parthenocissus</v>
      </c>
      <c r="P57" s="9" t="str">
        <f ca="1">IFERROR(__xludf.DUMMYFUNCTION("""COMPUTED_VALUE"""),"Juncus sp.")</f>
        <v>Juncus sp.</v>
      </c>
      <c r="Q57" s="9" t="str">
        <f ca="1">IFERROR(__xludf.DUMMYFUNCTION("""COMPUTED_VALUE"""),"Loblolly Pine")</f>
        <v>Loblolly Pine</v>
      </c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>
      <c r="A58" s="9">
        <v>2</v>
      </c>
      <c r="B58" s="11">
        <v>43802</v>
      </c>
      <c r="C58" s="9" t="s">
        <v>182</v>
      </c>
      <c r="D58" s="9">
        <v>4</v>
      </c>
      <c r="E58" s="9" t="s">
        <v>342</v>
      </c>
      <c r="F58" s="9" t="s">
        <v>359</v>
      </c>
      <c r="G58" s="10" t="s">
        <v>360</v>
      </c>
      <c r="H58" s="9" t="s">
        <v>361</v>
      </c>
      <c r="I58" s="9">
        <v>2</v>
      </c>
      <c r="J58" s="9">
        <v>2</v>
      </c>
      <c r="K58" s="9"/>
      <c r="L58" s="9"/>
      <c r="M58" s="9"/>
      <c r="N58" s="9"/>
      <c r="O58" s="9" t="str">
        <f ca="1">IFERROR(__xludf.DUMMYFUNCTION("""COMPUTED_VALUE"""),"Parthenocissus ")</f>
        <v xml:space="preserve">Parthenocissus </v>
      </c>
      <c r="P58" s="9" t="str">
        <f ca="1">IFERROR(__xludf.DUMMYFUNCTION("""COMPUTED_VALUE"""),"Latuca spp.")</f>
        <v>Latuca spp.</v>
      </c>
      <c r="Q58" s="9" t="str">
        <f ca="1">IFERROR(__xludf.DUMMYFUNCTION("""COMPUTED_VALUE"""),"Longleaf")</f>
        <v>Longleaf</v>
      </c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>
      <c r="A59" s="9">
        <v>2</v>
      </c>
      <c r="B59" s="11">
        <v>43802</v>
      </c>
      <c r="C59" s="9" t="s">
        <v>182</v>
      </c>
      <c r="D59" s="9">
        <v>4</v>
      </c>
      <c r="E59" s="9" t="s">
        <v>145</v>
      </c>
      <c r="F59" s="9" t="s">
        <v>146</v>
      </c>
      <c r="G59" s="10" t="s">
        <v>147</v>
      </c>
      <c r="H59" s="9" t="s">
        <v>148</v>
      </c>
      <c r="I59" s="9">
        <v>2</v>
      </c>
      <c r="J59" s="9">
        <v>3</v>
      </c>
      <c r="K59" s="9"/>
      <c r="L59" s="9"/>
      <c r="M59" s="9"/>
      <c r="N59" s="9"/>
      <c r="O59" s="9" t="str">
        <f ca="1">IFERROR(__xludf.DUMMYFUNCTION("""COMPUTED_VALUE"""),"Paspalum")</f>
        <v>Paspalum</v>
      </c>
      <c r="P59" s="9" t="str">
        <f ca="1">IFERROR(__xludf.DUMMYFUNCTION("""COMPUTED_VALUE"""),"Liquidambar styraciflua")</f>
        <v>Liquidambar styraciflua</v>
      </c>
      <c r="Q59" s="9" t="str">
        <f ca="1">IFERROR(__xludf.DUMMYFUNCTION("""COMPUTED_VALUE"""),"Longleaf pine")</f>
        <v>Longleaf pine</v>
      </c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>
      <c r="A60" s="9">
        <v>2</v>
      </c>
      <c r="B60" s="11">
        <v>43802</v>
      </c>
      <c r="C60" s="9" t="s">
        <v>182</v>
      </c>
      <c r="D60" s="9">
        <v>1</v>
      </c>
      <c r="E60" s="9" t="s">
        <v>149</v>
      </c>
      <c r="F60" s="9" t="s">
        <v>362</v>
      </c>
      <c r="G60" s="10" t="s">
        <v>363</v>
      </c>
      <c r="H60" s="9" t="s">
        <v>364</v>
      </c>
      <c r="I60" s="9">
        <v>2</v>
      </c>
      <c r="J60" s="9">
        <v>2</v>
      </c>
      <c r="K60" s="9"/>
      <c r="L60" s="9"/>
      <c r="M60" s="9"/>
      <c r="N60" s="9"/>
      <c r="O60" s="9" t="str">
        <f ca="1">IFERROR(__xludf.DUMMYFUNCTION("""COMPUTED_VALUE"""),"Passiflora")</f>
        <v>Passiflora</v>
      </c>
      <c r="P60" s="9" t="str">
        <f ca="1">IFERROR(__xludf.DUMMYFUNCTION("""COMPUTED_VALUE"""),"Magnolia grandiflora")</f>
        <v>Magnolia grandiflora</v>
      </c>
      <c r="Q60" s="9" t="str">
        <f ca="1">IFERROR(__xludf.DUMMYFUNCTION("""COMPUTED_VALUE"""),"Morning Glory")</f>
        <v>Morning Glory</v>
      </c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>
      <c r="A61" s="9">
        <v>2</v>
      </c>
      <c r="B61" s="11">
        <v>43802</v>
      </c>
      <c r="C61" s="9" t="s">
        <v>182</v>
      </c>
      <c r="D61" s="9">
        <v>2</v>
      </c>
      <c r="E61" s="9" t="s">
        <v>84</v>
      </c>
      <c r="F61" s="9" t="s">
        <v>85</v>
      </c>
      <c r="G61" s="9" t="s">
        <v>86</v>
      </c>
      <c r="H61" s="9" t="s">
        <v>87</v>
      </c>
      <c r="I61" s="9">
        <v>2</v>
      </c>
      <c r="J61" s="9">
        <v>1</v>
      </c>
      <c r="K61" s="9"/>
      <c r="L61" s="9"/>
      <c r="M61" s="9"/>
      <c r="N61" s="9"/>
      <c r="O61" s="9" t="str">
        <f ca="1">IFERROR(__xludf.DUMMYFUNCTION("""COMPUTED_VALUE"""),"Persea")</f>
        <v>Persea</v>
      </c>
      <c r="P61" s="9" t="str">
        <f ca="1">IFERROR(__xludf.DUMMYFUNCTION("""COMPUTED_VALUE"""),"Megathyrsus maximus")</f>
        <v>Megathyrsus maximus</v>
      </c>
      <c r="Q61" s="9" t="str">
        <f ca="1">IFERROR(__xludf.DUMMYFUNCTION("""COMPUTED_VALUE"""),"Muscadine")</f>
        <v>Muscadine</v>
      </c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>
      <c r="A62" s="9">
        <v>2</v>
      </c>
      <c r="B62" s="11">
        <v>43802</v>
      </c>
      <c r="C62" s="9" t="s">
        <v>182</v>
      </c>
      <c r="D62" s="9">
        <v>4</v>
      </c>
      <c r="E62" s="9" t="s">
        <v>55</v>
      </c>
      <c r="F62" s="9" t="s">
        <v>56</v>
      </c>
      <c r="G62" s="9" t="s">
        <v>57</v>
      </c>
      <c r="H62" s="9" t="s">
        <v>58</v>
      </c>
      <c r="I62" s="9">
        <v>2</v>
      </c>
      <c r="J62" s="9">
        <v>3</v>
      </c>
      <c r="K62" s="9"/>
      <c r="L62" s="9"/>
      <c r="M62" s="9"/>
      <c r="N62" s="9"/>
      <c r="O62" s="9" t="str">
        <f ca="1">IFERROR(__xludf.DUMMYFUNCTION("""COMPUTED_VALUE"""),"Phyllanthus")</f>
        <v>Phyllanthus</v>
      </c>
      <c r="P62" s="9" t="str">
        <f ca="1">IFERROR(__xludf.DUMMYFUNCTION("""COMPUTED_VALUE"""),"Mitchella repens")</f>
        <v>Mitchella repens</v>
      </c>
      <c r="Q62" s="9" t="str">
        <f ca="1">IFERROR(__xludf.DUMMYFUNCTION("""COMPUTED_VALUE"""),"Needleleaf witchgrass")</f>
        <v>Needleleaf witchgrass</v>
      </c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4.25" customHeight="1">
      <c r="A63" s="9">
        <v>2</v>
      </c>
      <c r="B63" s="11">
        <v>43802</v>
      </c>
      <c r="C63" s="9" t="s">
        <v>182</v>
      </c>
      <c r="D63" s="9">
        <v>2</v>
      </c>
      <c r="E63" s="9" t="s">
        <v>55</v>
      </c>
      <c r="F63" s="9" t="s">
        <v>117</v>
      </c>
      <c r="G63" s="9" t="s">
        <v>118</v>
      </c>
      <c r="H63" s="9" t="s">
        <v>119</v>
      </c>
      <c r="I63" s="9">
        <v>2</v>
      </c>
      <c r="J63" s="9">
        <v>2</v>
      </c>
      <c r="K63" s="9"/>
      <c r="L63" s="9"/>
      <c r="M63" s="10"/>
      <c r="N63" s="10"/>
      <c r="O63" s="10" t="str">
        <f ca="1">IFERROR(__xludf.DUMMYFUNCTION("""COMPUTED_VALUE"""),"Pinus")</f>
        <v>Pinus</v>
      </c>
      <c r="P63" s="10" t="str">
        <f ca="1">IFERROR(__xludf.DUMMYFUNCTION("""COMPUTED_VALUE"""),"Oplismenus spp.")</f>
        <v>Oplismenus spp.</v>
      </c>
      <c r="Q63" s="10" t="str">
        <f ca="1">IFERROR(__xludf.DUMMYFUNCTION("""COMPUTED_VALUE"""),"Nutrush")</f>
        <v>Nutrush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>
      <c r="A64" s="9">
        <v>2</v>
      </c>
      <c r="B64" s="11">
        <v>43802</v>
      </c>
      <c r="C64" s="9" t="s">
        <v>182</v>
      </c>
      <c r="D64" s="9">
        <v>4</v>
      </c>
      <c r="E64" s="9" t="s">
        <v>124</v>
      </c>
      <c r="F64" s="9" t="s">
        <v>125</v>
      </c>
      <c r="G64" s="9" t="s">
        <v>126</v>
      </c>
      <c r="H64" s="9" t="s">
        <v>127</v>
      </c>
      <c r="I64" s="9">
        <v>1</v>
      </c>
      <c r="J64" s="9">
        <v>6</v>
      </c>
      <c r="K64" s="9"/>
      <c r="L64" s="9"/>
      <c r="M64" s="9"/>
      <c r="N64" s="9"/>
      <c r="O64" s="9" t="str">
        <f ca="1">IFERROR(__xludf.DUMMYFUNCTION("""COMPUTED_VALUE"""),"Prunus")</f>
        <v>Prunus</v>
      </c>
      <c r="P64" s="9" t="str">
        <f ca="1">IFERROR(__xludf.DUMMYFUNCTION("""COMPUTED_VALUE"""),"Oplismenus undulatifolius ")</f>
        <v xml:space="preserve">Oplismenus undulatifolius </v>
      </c>
      <c r="Q64" s="9" t="str">
        <f ca="1">IFERROR(__xludf.DUMMYFUNCTION("""COMPUTED_VALUE"""),"Nutsedge")</f>
        <v>Nutsedge</v>
      </c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>
      <c r="A65" s="9">
        <v>2</v>
      </c>
      <c r="B65" s="11">
        <v>43802</v>
      </c>
      <c r="C65" s="9" t="s">
        <v>182</v>
      </c>
      <c r="D65" s="9">
        <v>2</v>
      </c>
      <c r="E65" s="9" t="s">
        <v>185</v>
      </c>
      <c r="F65" s="9" t="s">
        <v>186</v>
      </c>
      <c r="G65" s="10" t="s">
        <v>365</v>
      </c>
      <c r="H65" s="9" t="s">
        <v>366</v>
      </c>
      <c r="I65" s="9">
        <v>1</v>
      </c>
      <c r="J65" s="9">
        <v>5</v>
      </c>
      <c r="K65" s="9"/>
      <c r="L65" s="9"/>
      <c r="M65" s="9"/>
      <c r="N65" s="9"/>
      <c r="O65" s="9" t="str">
        <f ca="1">IFERROR(__xludf.DUMMYFUNCTION("""COMPUTED_VALUE"""),"Pteridium")</f>
        <v>Pteridium</v>
      </c>
      <c r="P65" s="9" t="str">
        <f ca="1">IFERROR(__xludf.DUMMYFUNCTION("""COMPUTED_VALUE"""),"Oxalis sp.")</f>
        <v>Oxalis sp.</v>
      </c>
      <c r="Q65" s="9" t="str">
        <f ca="1">IFERROR(__xludf.DUMMYFUNCTION("""COMPUTED_VALUE"""),"Panic Grass")</f>
        <v>Panic Grass</v>
      </c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>
      <c r="A66" s="9">
        <v>2</v>
      </c>
      <c r="B66" s="11">
        <v>43802</v>
      </c>
      <c r="C66" s="9" t="s">
        <v>182</v>
      </c>
      <c r="D66" s="9">
        <v>2</v>
      </c>
      <c r="E66" s="9" t="s">
        <v>44</v>
      </c>
      <c r="F66" s="9" t="s">
        <v>367</v>
      </c>
      <c r="G66" s="9" t="s">
        <v>368</v>
      </c>
      <c r="H66" s="9" t="s">
        <v>341</v>
      </c>
      <c r="I66" s="9">
        <v>1</v>
      </c>
      <c r="J66" s="9">
        <v>4</v>
      </c>
      <c r="K66" s="9"/>
      <c r="L66" s="9"/>
      <c r="M66" s="9"/>
      <c r="N66" s="9"/>
      <c r="O66" s="9" t="str">
        <f ca="1">IFERROR(__xludf.DUMMYFUNCTION("""COMPUTED_VALUE"""),"Quercus")</f>
        <v>Quercus</v>
      </c>
      <c r="P66" s="9" t="str">
        <f ca="1">IFERROR(__xludf.DUMMYFUNCTION("""COMPUTED_VALUE"""),"Oxalis spp.")</f>
        <v>Oxalis spp.</v>
      </c>
      <c r="Q66" s="9" t="str">
        <f ca="1">IFERROR(__xludf.DUMMYFUNCTION("""COMPUTED_VALUE"""),"Panicgrass")</f>
        <v>Panicgrass</v>
      </c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>
      <c r="A67" s="9">
        <v>2</v>
      </c>
      <c r="B67" s="11">
        <v>43802</v>
      </c>
      <c r="C67" s="9" t="s">
        <v>182</v>
      </c>
      <c r="D67" s="9">
        <v>4</v>
      </c>
      <c r="E67" s="9" t="s">
        <v>67</v>
      </c>
      <c r="F67" s="9" t="s">
        <v>68</v>
      </c>
      <c r="G67" s="9" t="s">
        <v>69</v>
      </c>
      <c r="H67" s="9" t="s">
        <v>369</v>
      </c>
      <c r="I67" s="9">
        <v>0</v>
      </c>
      <c r="J67" s="9">
        <v>7</v>
      </c>
      <c r="K67" s="9" t="s">
        <v>319</v>
      </c>
      <c r="L67" s="9"/>
      <c r="M67" s="9"/>
      <c r="N67" s="9"/>
      <c r="O67" s="9" t="str">
        <f ca="1">IFERROR(__xludf.DUMMYFUNCTION("""COMPUTED_VALUE"""),"Raphanus")</f>
        <v>Raphanus</v>
      </c>
      <c r="P67" s="9" t="str">
        <f ca="1">IFERROR(__xludf.DUMMYFUNCTION("""COMPUTED_VALUE"""),"Parthenocissus quinquefolia")</f>
        <v>Parthenocissus quinquefolia</v>
      </c>
      <c r="Q67" s="9" t="str">
        <f ca="1">IFERROR(__xludf.DUMMYFUNCTION("""COMPUTED_VALUE"""),"Partridge Pea")</f>
        <v>Partridge Pea</v>
      </c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>
      <c r="A68" s="9">
        <v>2</v>
      </c>
      <c r="B68" s="11">
        <v>43802</v>
      </c>
      <c r="C68" s="9" t="s">
        <v>182</v>
      </c>
      <c r="D68" s="9">
        <v>4</v>
      </c>
      <c r="E68" s="9" t="s">
        <v>77</v>
      </c>
      <c r="F68" s="9" t="s">
        <v>78</v>
      </c>
      <c r="G68" s="10" t="s">
        <v>370</v>
      </c>
      <c r="H68" s="9" t="s">
        <v>371</v>
      </c>
      <c r="I68" s="9">
        <v>1</v>
      </c>
      <c r="J68" s="9">
        <v>5</v>
      </c>
      <c r="K68" s="9"/>
      <c r="L68" s="9"/>
      <c r="M68" s="10"/>
      <c r="N68" s="10"/>
      <c r="O68" s="10" t="str">
        <f ca="1">IFERROR(__xludf.DUMMYFUNCTION("""COMPUTED_VALUE"""),"Rhus")</f>
        <v>Rhus</v>
      </c>
      <c r="P68" s="10" t="str">
        <f ca="1">IFERROR(__xludf.DUMMYFUNCTION("""COMPUTED_VALUE"""),"Paspalum sp.")</f>
        <v>Paspalum sp.</v>
      </c>
      <c r="Q68" s="10" t="str">
        <f ca="1">IFERROR(__xludf.DUMMYFUNCTION("""COMPUTED_VALUE"""),"Paspalum grass/Bahiagrass")</f>
        <v>Paspalum grass/Bahiagrass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>
      <c r="A69" s="9">
        <v>2</v>
      </c>
      <c r="B69" s="11">
        <v>43802</v>
      </c>
      <c r="C69" s="9" t="s">
        <v>182</v>
      </c>
      <c r="D69" s="9">
        <v>4</v>
      </c>
      <c r="E69" s="9" t="s">
        <v>342</v>
      </c>
      <c r="F69" s="9" t="s">
        <v>196</v>
      </c>
      <c r="G69" s="9" t="s">
        <v>197</v>
      </c>
      <c r="H69" s="9" t="s">
        <v>198</v>
      </c>
      <c r="I69" s="9">
        <v>1</v>
      </c>
      <c r="J69" s="9">
        <v>4</v>
      </c>
      <c r="K69" s="9"/>
      <c r="L69" s="9"/>
      <c r="M69" s="9"/>
      <c r="N69" s="9"/>
      <c r="O69" s="9" t="str">
        <f ca="1">IFERROR(__xludf.DUMMYFUNCTION("""COMPUTED_VALUE"""),"Rhynchofia")</f>
        <v>Rhynchofia</v>
      </c>
      <c r="P69" s="9" t="str">
        <f ca="1">IFERROR(__xludf.DUMMYFUNCTION("""COMPUTED_VALUE"""),"Passiflora spp.")</f>
        <v>Passiflora spp.</v>
      </c>
      <c r="Q69" s="9" t="str">
        <f ca="1">IFERROR(__xludf.DUMMYFUNCTION("""COMPUTED_VALUE"""),"Paspalum notatum")</f>
        <v>Paspalum notatum</v>
      </c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>
      <c r="A70" s="9">
        <v>2</v>
      </c>
      <c r="B70" s="11">
        <v>43802</v>
      </c>
      <c r="C70" s="9" t="s">
        <v>182</v>
      </c>
      <c r="D70" s="9">
        <v>1</v>
      </c>
      <c r="E70" s="9" t="s">
        <v>75</v>
      </c>
      <c r="F70" s="9" t="s">
        <v>75</v>
      </c>
      <c r="G70" s="10" t="s">
        <v>372</v>
      </c>
      <c r="H70" s="9" t="s">
        <v>75</v>
      </c>
      <c r="I70" s="9">
        <v>1</v>
      </c>
      <c r="J70" s="9">
        <v>2</v>
      </c>
      <c r="K70" s="9"/>
      <c r="L70" s="9"/>
      <c r="M70" s="9"/>
      <c r="N70" s="9"/>
      <c r="O70" s="9" t="str">
        <f ca="1">IFERROR(__xludf.DUMMYFUNCTION("""COMPUTED_VALUE"""),"Rhynchospora ")</f>
        <v xml:space="preserve">Rhynchospora </v>
      </c>
      <c r="P70" s="9" t="str">
        <f ca="1">IFERROR(__xludf.DUMMYFUNCTION("""COMPUTED_VALUE"""),"Persea borbonia")</f>
        <v>Persea borbonia</v>
      </c>
      <c r="Q70" s="9" t="str">
        <f ca="1">IFERROR(__xludf.DUMMYFUNCTION("""COMPUTED_VALUE"""),"Passionflower")</f>
        <v>Passionflower</v>
      </c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>
      <c r="A71" s="9">
        <v>2</v>
      </c>
      <c r="B71" s="11">
        <v>43802</v>
      </c>
      <c r="C71" s="9" t="s">
        <v>182</v>
      </c>
      <c r="D71" s="9">
        <v>3</v>
      </c>
      <c r="E71" s="9" t="s">
        <v>77</v>
      </c>
      <c r="F71" s="9" t="s">
        <v>78</v>
      </c>
      <c r="G71" s="9" t="s">
        <v>183</v>
      </c>
      <c r="H71" s="9" t="s">
        <v>373</v>
      </c>
      <c r="I71" s="9">
        <v>1</v>
      </c>
      <c r="J71" s="9">
        <v>6</v>
      </c>
      <c r="K71" s="9"/>
      <c r="L71" s="9"/>
      <c r="M71" s="9"/>
      <c r="N71" s="9"/>
      <c r="O71" s="9" t="str">
        <f ca="1">IFERROR(__xludf.DUMMYFUNCTION("""COMPUTED_VALUE"""),"Rubus")</f>
        <v>Rubus</v>
      </c>
      <c r="P71" s="9" t="str">
        <f ca="1">IFERROR(__xludf.DUMMYFUNCTION("""COMPUTED_VALUE"""),"Phyllanthus urinaria")</f>
        <v>Phyllanthus urinaria</v>
      </c>
      <c r="Q71" s="9" t="str">
        <f ca="1">IFERROR(__xludf.DUMMYFUNCTION("""COMPUTED_VALUE"""),"Patridgeberry")</f>
        <v>Patridgeberry</v>
      </c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>
      <c r="A72" s="9">
        <v>2</v>
      </c>
      <c r="B72" s="11">
        <v>43802</v>
      </c>
      <c r="C72" s="9" t="s">
        <v>182</v>
      </c>
      <c r="D72" s="9">
        <v>4</v>
      </c>
      <c r="E72" s="9" t="s">
        <v>77</v>
      </c>
      <c r="F72" s="9" t="s">
        <v>78</v>
      </c>
      <c r="G72" s="9" t="s">
        <v>79</v>
      </c>
      <c r="H72" s="9" t="s">
        <v>80</v>
      </c>
      <c r="I72" s="9">
        <v>1</v>
      </c>
      <c r="J72" s="9">
        <v>4</v>
      </c>
      <c r="K72" s="9"/>
      <c r="L72" s="9"/>
      <c r="M72" s="9"/>
      <c r="N72" s="9"/>
      <c r="O72" s="9" t="str">
        <f ca="1">IFERROR(__xludf.DUMMYFUNCTION("""COMPUTED_VALUE"""),"Sabal")</f>
        <v>Sabal</v>
      </c>
      <c r="P72" s="9" t="str">
        <f ca="1">IFERROR(__xludf.DUMMYFUNCTION("""COMPUTED_VALUE"""),"Pinus palustris")</f>
        <v>Pinus palustris</v>
      </c>
      <c r="Q72" s="9" t="str">
        <f ca="1">IFERROR(__xludf.DUMMYFUNCTION("""COMPUTED_VALUE"""),"Persian silk tree")</f>
        <v>Persian silk tree</v>
      </c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>
      <c r="A73" s="9">
        <v>2</v>
      </c>
      <c r="B73" s="11">
        <v>43802</v>
      </c>
      <c r="C73" s="9" t="s">
        <v>182</v>
      </c>
      <c r="D73" s="9">
        <v>4</v>
      </c>
      <c r="E73" s="9" t="s">
        <v>55</v>
      </c>
      <c r="F73" s="9" t="s">
        <v>137</v>
      </c>
      <c r="G73" s="9" t="s">
        <v>138</v>
      </c>
      <c r="H73" s="9" t="s">
        <v>139</v>
      </c>
      <c r="I73" s="9">
        <v>1</v>
      </c>
      <c r="J73" s="9">
        <v>4</v>
      </c>
      <c r="K73" s="9"/>
      <c r="L73" s="9"/>
      <c r="M73" s="9"/>
      <c r="N73" s="9"/>
      <c r="O73" s="9" t="str">
        <f ca="1">IFERROR(__xludf.DUMMYFUNCTION("""COMPUTED_VALUE"""),"Scleria")</f>
        <v>Scleria</v>
      </c>
      <c r="P73" s="9" t="str">
        <f ca="1">IFERROR(__xludf.DUMMYFUNCTION("""COMPUTED_VALUE"""),"Pinus taeda")</f>
        <v>Pinus taeda</v>
      </c>
      <c r="Q73" s="9" t="str">
        <f ca="1">IFERROR(__xludf.DUMMYFUNCTION("""COMPUTED_VALUE"""),"Persimmon")</f>
        <v>Persimmon</v>
      </c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>
      <c r="A74" s="9">
        <v>2</v>
      </c>
      <c r="B74" s="11">
        <v>43802</v>
      </c>
      <c r="C74" s="9" t="s">
        <v>182</v>
      </c>
      <c r="D74" s="9">
        <v>4</v>
      </c>
      <c r="E74" s="9" t="s">
        <v>21</v>
      </c>
      <c r="F74" s="9" t="s">
        <v>72</v>
      </c>
      <c r="G74" s="9" t="s">
        <v>73</v>
      </c>
      <c r="H74" s="9" t="s">
        <v>74</v>
      </c>
      <c r="I74" s="9">
        <v>1</v>
      </c>
      <c r="J74" s="9">
        <v>5</v>
      </c>
      <c r="K74" s="9"/>
      <c r="L74" s="9"/>
      <c r="M74" s="9"/>
      <c r="N74" s="9"/>
      <c r="O74" s="9" t="str">
        <f ca="1">IFERROR(__xludf.DUMMYFUNCTION("""COMPUTED_VALUE"""),"Serenoa")</f>
        <v>Serenoa</v>
      </c>
      <c r="P74" s="9" t="str">
        <f ca="1">IFERROR(__xludf.DUMMYFUNCTION("""COMPUTED_VALUE"""),"Prunus caroliniana")</f>
        <v>Prunus caroliniana</v>
      </c>
      <c r="Q74" s="9" t="str">
        <f ca="1">IFERROR(__xludf.DUMMYFUNCTION("""COMPUTED_VALUE"""),"Pignut Hickory")</f>
        <v>Pignut Hickory</v>
      </c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>
      <c r="A75" s="9">
        <v>2</v>
      </c>
      <c r="B75" s="11">
        <v>43802</v>
      </c>
      <c r="C75" s="9" t="s">
        <v>182</v>
      </c>
      <c r="D75" s="9">
        <v>4</v>
      </c>
      <c r="E75" s="9" t="s">
        <v>55</v>
      </c>
      <c r="F75" s="9" t="s">
        <v>189</v>
      </c>
      <c r="G75" s="9" t="s">
        <v>190</v>
      </c>
      <c r="H75" s="9" t="s">
        <v>191</v>
      </c>
      <c r="I75" s="9">
        <v>1</v>
      </c>
      <c r="J75" s="9">
        <v>3</v>
      </c>
      <c r="K75" s="9"/>
      <c r="L75" s="9"/>
      <c r="M75" s="9"/>
      <c r="N75" s="9"/>
      <c r="O75" s="9" t="str">
        <f ca="1">IFERROR(__xludf.DUMMYFUNCTION("""COMPUTED_VALUE"""),"Setaria")</f>
        <v>Setaria</v>
      </c>
      <c r="P75" s="9" t="str">
        <f ca="1">IFERROR(__xludf.DUMMYFUNCTION("""COMPUTED_VALUE"""),"Prunus serotina")</f>
        <v>Prunus serotina</v>
      </c>
      <c r="Q75" s="9" t="str">
        <f ca="1">IFERROR(__xludf.DUMMYFUNCTION("""COMPUTED_VALUE"""),"Poison Ivy")</f>
        <v>Poison Ivy</v>
      </c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>
      <c r="A76" s="9">
        <v>2</v>
      </c>
      <c r="B76" s="11">
        <v>43802</v>
      </c>
      <c r="C76" s="9" t="s">
        <v>182</v>
      </c>
      <c r="D76" s="9">
        <v>4</v>
      </c>
      <c r="E76" s="9" t="s">
        <v>109</v>
      </c>
      <c r="F76" s="9" t="s">
        <v>110</v>
      </c>
      <c r="G76" s="9" t="s">
        <v>111</v>
      </c>
      <c r="H76" s="9" t="s">
        <v>112</v>
      </c>
      <c r="I76" s="9">
        <v>2</v>
      </c>
      <c r="J76" s="9">
        <v>4</v>
      </c>
      <c r="K76" s="9"/>
      <c r="L76" s="9"/>
      <c r="M76" s="9"/>
      <c r="N76" s="9"/>
      <c r="O76" s="9" t="str">
        <f ca="1">IFERROR(__xludf.DUMMYFUNCTION("""COMPUTED_VALUE"""),"Smilax")</f>
        <v>Smilax</v>
      </c>
      <c r="P76" s="9" t="str">
        <f ca="1">IFERROR(__xludf.DUMMYFUNCTION("""COMPUTED_VALUE"""),"Prunus virginiana")</f>
        <v>Prunus virginiana</v>
      </c>
      <c r="Q76" s="9" t="str">
        <f ca="1">IFERROR(__xludf.DUMMYFUNCTION("""COMPUTED_VALUE"""),"Ragweed")</f>
        <v>Ragweed</v>
      </c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>
      <c r="A77" s="9">
        <v>2</v>
      </c>
      <c r="B77" s="11">
        <v>43809</v>
      </c>
      <c r="C77" s="9" t="s">
        <v>192</v>
      </c>
      <c r="D77" s="9">
        <v>1</v>
      </c>
      <c r="E77" s="9" t="s">
        <v>75</v>
      </c>
      <c r="F77" s="9" t="s">
        <v>75</v>
      </c>
      <c r="G77" s="9" t="s">
        <v>374</v>
      </c>
      <c r="H77" s="9" t="s">
        <v>75</v>
      </c>
      <c r="I77" s="9">
        <v>4</v>
      </c>
      <c r="J77" s="9">
        <v>2</v>
      </c>
      <c r="K77" s="9" t="s">
        <v>375</v>
      </c>
      <c r="L77" s="9"/>
      <c r="M77" s="9"/>
      <c r="N77" s="9"/>
      <c r="O77" s="9" t="str">
        <f ca="1">IFERROR(__xludf.DUMMYFUNCTION("""COMPUTED_VALUE"""),"Smilex")</f>
        <v>Smilex</v>
      </c>
      <c r="P77" s="9" t="str">
        <f ca="1">IFERROR(__xludf.DUMMYFUNCTION("""COMPUTED_VALUE"""),"Pteridium aquilinum")</f>
        <v>Pteridium aquilinum</v>
      </c>
      <c r="Q77" s="9" t="str">
        <f ca="1">IFERROR(__xludf.DUMMYFUNCTION("""COMPUTED_VALUE"""),"Red Bay")</f>
        <v>Red Bay</v>
      </c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>
      <c r="A78" s="9">
        <v>2</v>
      </c>
      <c r="B78" s="11">
        <v>43809</v>
      </c>
      <c r="C78" s="9" t="s">
        <v>192</v>
      </c>
      <c r="D78" s="9">
        <v>3</v>
      </c>
      <c r="E78" s="9" t="s">
        <v>55</v>
      </c>
      <c r="F78" s="9" t="s">
        <v>117</v>
      </c>
      <c r="G78" s="9" t="s">
        <v>118</v>
      </c>
      <c r="H78" s="9" t="s">
        <v>119</v>
      </c>
      <c r="I78" s="12">
        <v>5</v>
      </c>
      <c r="J78" s="9">
        <v>5</v>
      </c>
      <c r="K78" s="9"/>
      <c r="L78" s="9"/>
      <c r="M78" s="9"/>
      <c r="N78" s="9"/>
      <c r="O78" s="9" t="str">
        <f ca="1">IFERROR(__xludf.DUMMYFUNCTION("""COMPUTED_VALUE"""),"Soladago")</f>
        <v>Soladago</v>
      </c>
      <c r="P78" s="9" t="str">
        <f ca="1">IFERROR(__xludf.DUMMYFUNCTION("""COMPUTED_VALUE"""),"Quercus falcata")</f>
        <v>Quercus falcata</v>
      </c>
      <c r="Q78" s="9" t="str">
        <f ca="1">IFERROR(__xludf.DUMMYFUNCTION("""COMPUTED_VALUE"""),"Rosette Grass")</f>
        <v>Rosette Grass</v>
      </c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>
      <c r="A79" s="9">
        <v>2</v>
      </c>
      <c r="B79" s="11">
        <v>43809</v>
      </c>
      <c r="C79" s="9" t="s">
        <v>192</v>
      </c>
      <c r="D79" s="9">
        <v>4</v>
      </c>
      <c r="E79" s="9" t="s">
        <v>25</v>
      </c>
      <c r="F79" s="9" t="s">
        <v>33</v>
      </c>
      <c r="G79" s="9" t="s">
        <v>34</v>
      </c>
      <c r="H79" s="9" t="s">
        <v>35</v>
      </c>
      <c r="I79" s="9">
        <v>3</v>
      </c>
      <c r="J79" s="9">
        <v>4</v>
      </c>
      <c r="K79" s="9"/>
      <c r="L79" s="9"/>
      <c r="M79" s="9"/>
      <c r="N79" s="9"/>
      <c r="O79" s="9" t="str">
        <f ca="1">IFERROR(__xludf.DUMMYFUNCTION("""COMPUTED_VALUE"""),"Solidago")</f>
        <v>Solidago</v>
      </c>
      <c r="P79" s="9" t="str">
        <f ca="1">IFERROR(__xludf.DUMMYFUNCTION("""COMPUTED_VALUE"""),"Quercus hemisphaerica")</f>
        <v>Quercus hemisphaerica</v>
      </c>
      <c r="Q79" s="9" t="str">
        <f ca="1">IFERROR(__xludf.DUMMYFUNCTION("""COMPUTED_VALUE"""),"Sand Blackberry")</f>
        <v>Sand Blackberry</v>
      </c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>
      <c r="A80" s="9">
        <v>2</v>
      </c>
      <c r="B80" s="11">
        <v>43809</v>
      </c>
      <c r="C80" s="9" t="s">
        <v>192</v>
      </c>
      <c r="D80" s="9">
        <v>4</v>
      </c>
      <c r="E80" s="9" t="s">
        <v>25</v>
      </c>
      <c r="F80" s="9" t="s">
        <v>48</v>
      </c>
      <c r="G80" s="10" t="s">
        <v>49</v>
      </c>
      <c r="H80" s="9" t="s">
        <v>355</v>
      </c>
      <c r="I80" s="9">
        <v>3</v>
      </c>
      <c r="J80" s="9">
        <v>4</v>
      </c>
      <c r="K80" s="9"/>
      <c r="L80" s="9"/>
      <c r="M80" s="9"/>
      <c r="N80" s="9"/>
      <c r="O80" s="9" t="str">
        <f ca="1">IFERROR(__xludf.DUMMYFUNCTION("""COMPUTED_VALUE"""),"Sorghastrum")</f>
        <v>Sorghastrum</v>
      </c>
      <c r="P80" s="9" t="str">
        <f ca="1">IFERROR(__xludf.DUMMYFUNCTION("""COMPUTED_VALUE"""),"Quercus michauxii")</f>
        <v>Quercus michauxii</v>
      </c>
      <c r="Q80" s="9" t="str">
        <f ca="1">IFERROR(__xludf.DUMMYFUNCTION("""COMPUTED_VALUE"""),"Sand Laurel Oak")</f>
        <v>Sand Laurel Oak</v>
      </c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>
      <c r="A81" s="9">
        <v>2</v>
      </c>
      <c r="B81" s="11">
        <v>43809</v>
      </c>
      <c r="C81" s="9" t="s">
        <v>192</v>
      </c>
      <c r="D81" s="10">
        <v>3</v>
      </c>
      <c r="E81" s="9" t="s">
        <v>104</v>
      </c>
      <c r="F81" s="9" t="s">
        <v>376</v>
      </c>
      <c r="G81" s="9" t="s">
        <v>106</v>
      </c>
      <c r="H81" s="10" t="s">
        <v>377</v>
      </c>
      <c r="I81" s="9">
        <v>1</v>
      </c>
      <c r="J81" s="9">
        <v>4</v>
      </c>
      <c r="K81" s="9" t="s">
        <v>378</v>
      </c>
      <c r="L81" s="9"/>
      <c r="M81" s="9"/>
      <c r="N81" s="9"/>
      <c r="O81" s="9" t="str">
        <f ca="1">IFERROR(__xludf.DUMMYFUNCTION("""COMPUTED_VALUE"""),"Sorghum")</f>
        <v>Sorghum</v>
      </c>
      <c r="P81" s="9" t="str">
        <f ca="1">IFERROR(__xludf.DUMMYFUNCTION("""COMPUTED_VALUE"""),"Quercus nigra")</f>
        <v>Quercus nigra</v>
      </c>
      <c r="Q81" s="9" t="str">
        <f ca="1">IFERROR(__xludf.DUMMYFUNCTION("""COMPUTED_VALUE"""),"Saw Greenbrier")</f>
        <v>Saw Greenbrier</v>
      </c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>
      <c r="A82" s="9">
        <v>2</v>
      </c>
      <c r="B82" s="11">
        <v>43809</v>
      </c>
      <c r="C82" s="9" t="s">
        <v>192</v>
      </c>
      <c r="D82" s="9">
        <v>4</v>
      </c>
      <c r="E82" s="9" t="s">
        <v>51</v>
      </c>
      <c r="F82" s="9" t="s">
        <v>52</v>
      </c>
      <c r="G82" s="9" t="s">
        <v>53</v>
      </c>
      <c r="H82" s="9" t="s">
        <v>54</v>
      </c>
      <c r="I82" s="9">
        <v>1</v>
      </c>
      <c r="J82" s="9">
        <v>7</v>
      </c>
      <c r="K82" s="9"/>
      <c r="L82" s="9"/>
      <c r="M82" s="9"/>
      <c r="N82" s="9"/>
      <c r="O82" s="9" t="str">
        <f ca="1">IFERROR(__xludf.DUMMYFUNCTION("""COMPUTED_VALUE"""),"Stachys")</f>
        <v>Stachys</v>
      </c>
      <c r="P82" s="9" t="str">
        <f ca="1">IFERROR(__xludf.DUMMYFUNCTION("""COMPUTED_VALUE"""),"Quercus sp")</f>
        <v>Quercus sp</v>
      </c>
      <c r="Q82" s="9" t="str">
        <f ca="1">IFERROR(__xludf.DUMMYFUNCTION("""COMPUTED_VALUE"""),"Saw Palmetto")</f>
        <v>Saw Palmetto</v>
      </c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>
      <c r="A83" s="9">
        <v>2</v>
      </c>
      <c r="B83" s="11">
        <v>43809</v>
      </c>
      <c r="C83" s="9" t="s">
        <v>192</v>
      </c>
      <c r="D83" s="9">
        <v>4</v>
      </c>
      <c r="E83" s="9" t="s">
        <v>149</v>
      </c>
      <c r="F83" s="9" t="s">
        <v>379</v>
      </c>
      <c r="G83" s="9" t="s">
        <v>151</v>
      </c>
      <c r="H83" s="10" t="s">
        <v>324</v>
      </c>
      <c r="I83" s="9">
        <v>1</v>
      </c>
      <c r="J83" s="9">
        <v>3</v>
      </c>
      <c r="K83" s="9"/>
      <c r="L83" s="9"/>
      <c r="M83" s="9"/>
      <c r="N83" s="9"/>
      <c r="O83" s="9" t="str">
        <f ca="1">IFERROR(__xludf.DUMMYFUNCTION("""COMPUTED_VALUE"""),"Toxicodendron")</f>
        <v>Toxicodendron</v>
      </c>
      <c r="P83" s="9" t="str">
        <f ca="1">IFERROR(__xludf.DUMMYFUNCTION("""COMPUTED_VALUE"""),"Quercus virginanna")</f>
        <v>Quercus virginanna</v>
      </c>
      <c r="Q83" s="9" t="str">
        <f ca="1">IFERROR(__xludf.DUMMYFUNCTION("""COMPUTED_VALUE"""),"Sedge")</f>
        <v>Sedge</v>
      </c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>
      <c r="A84" s="9">
        <v>2</v>
      </c>
      <c r="B84" s="11">
        <v>43809</v>
      </c>
      <c r="C84" s="9" t="s">
        <v>192</v>
      </c>
      <c r="D84" s="9">
        <v>4</v>
      </c>
      <c r="E84" s="9" t="s">
        <v>44</v>
      </c>
      <c r="F84" s="9" t="s">
        <v>45</v>
      </c>
      <c r="G84" s="9" t="s">
        <v>218</v>
      </c>
      <c r="H84" s="9" t="s">
        <v>341</v>
      </c>
      <c r="I84" s="9">
        <v>0</v>
      </c>
      <c r="J84" s="9">
        <v>2</v>
      </c>
      <c r="K84" s="9"/>
      <c r="L84" s="9"/>
      <c r="M84" s="9"/>
      <c r="N84" s="9"/>
      <c r="O84" s="9" t="str">
        <f ca="1">IFERROR(__xludf.DUMMYFUNCTION("""COMPUTED_VALUE"""),"Trifolium")</f>
        <v>Trifolium</v>
      </c>
      <c r="P84" s="9" t="str">
        <f ca="1">IFERROR(__xludf.DUMMYFUNCTION("""COMPUTED_VALUE"""),"Raphanus spp.")</f>
        <v>Raphanus spp.</v>
      </c>
      <c r="Q84" s="9" t="str">
        <f ca="1">IFERROR(__xludf.DUMMYFUNCTION("""COMPUTED_VALUE"""),"Slender Threeseed Mercury")</f>
        <v>Slender Threeseed Mercury</v>
      </c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>
      <c r="A85" s="9">
        <v>2</v>
      </c>
      <c r="B85" s="11">
        <v>43809</v>
      </c>
      <c r="C85" s="9" t="s">
        <v>192</v>
      </c>
      <c r="D85" s="9">
        <v>4</v>
      </c>
      <c r="E85" s="9" t="s">
        <v>44</v>
      </c>
      <c r="F85" s="9" t="s">
        <v>380</v>
      </c>
      <c r="G85" s="9" t="s">
        <v>121</v>
      </c>
      <c r="H85" s="9" t="s">
        <v>381</v>
      </c>
      <c r="I85" s="9">
        <v>1</v>
      </c>
      <c r="J85" s="9">
        <v>3</v>
      </c>
      <c r="K85" s="9"/>
      <c r="L85" s="9"/>
      <c r="M85" s="9"/>
      <c r="N85" s="9"/>
      <c r="O85" s="9" t="str">
        <f ca="1">IFERROR(__xludf.DUMMYFUNCTION("""COMPUTED_VALUE"""),"Vaccinium ")</f>
        <v xml:space="preserve">Vaccinium </v>
      </c>
      <c r="P85" s="9" t="str">
        <f ca="1">IFERROR(__xludf.DUMMYFUNCTION("""COMPUTED_VALUE"""),"Rhus copallinum")</f>
        <v>Rhus copallinum</v>
      </c>
      <c r="Q85" s="9" t="str">
        <f ca="1">IFERROR(__xludf.DUMMYFUNCTION("""COMPUTED_VALUE"""),"Slimleaf Pawpaw")</f>
        <v>Slimleaf Pawpaw</v>
      </c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>
      <c r="A86" s="9">
        <v>2</v>
      </c>
      <c r="B86" s="11">
        <v>43809</v>
      </c>
      <c r="C86" s="9" t="s">
        <v>192</v>
      </c>
      <c r="D86" s="9">
        <v>4</v>
      </c>
      <c r="E86" s="9" t="s">
        <v>81</v>
      </c>
      <c r="F86" s="9" t="s">
        <v>82</v>
      </c>
      <c r="G86" s="9" t="s">
        <v>99</v>
      </c>
      <c r="H86" s="9" t="s">
        <v>100</v>
      </c>
      <c r="I86" s="9">
        <v>4</v>
      </c>
      <c r="J86" s="9">
        <v>6</v>
      </c>
      <c r="K86" s="9"/>
      <c r="L86" s="9"/>
      <c r="M86" s="10"/>
      <c r="N86" s="10"/>
      <c r="O86" s="10" t="str">
        <f ca="1">IFERROR(__xludf.DUMMYFUNCTION("""COMPUTED_VALUE"""),"Viburnum")</f>
        <v>Viburnum</v>
      </c>
      <c r="P86" s="10" t="str">
        <f ca="1">IFERROR(__xludf.DUMMYFUNCTION("""COMPUTED_VALUE"""),"Rhynchofia tomatosa")</f>
        <v>Rhynchofia tomatosa</v>
      </c>
      <c r="Q86" s="10" t="str">
        <f ca="1">IFERROR(__xludf.DUMMYFUNCTION("""COMPUTED_VALUE"""),"Smilax")</f>
        <v>Smilax</v>
      </c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>
      <c r="A87" s="9">
        <v>2</v>
      </c>
      <c r="B87" s="11">
        <v>43809</v>
      </c>
      <c r="C87" s="9" t="s">
        <v>192</v>
      </c>
      <c r="D87" s="9">
        <v>3</v>
      </c>
      <c r="E87" s="9" t="s">
        <v>63</v>
      </c>
      <c r="F87" s="9" t="s">
        <v>128</v>
      </c>
      <c r="G87" s="9" t="s">
        <v>129</v>
      </c>
      <c r="H87" s="9" t="s">
        <v>130</v>
      </c>
      <c r="I87" s="9">
        <v>2</v>
      </c>
      <c r="J87" s="9">
        <v>2</v>
      </c>
      <c r="K87" s="9"/>
      <c r="L87" s="9"/>
      <c r="M87" s="9"/>
      <c r="N87" s="9"/>
      <c r="O87" s="9" t="str">
        <f ca="1">IFERROR(__xludf.DUMMYFUNCTION("""COMPUTED_VALUE"""),"Vitis")</f>
        <v>Vitis</v>
      </c>
      <c r="P87" s="9" t="str">
        <f ca="1">IFERROR(__xludf.DUMMYFUNCTION("""COMPUTED_VALUE"""),"Rhynchospora spp.")</f>
        <v>Rhynchospora spp.</v>
      </c>
      <c r="Q87" s="9" t="str">
        <f ca="1">IFERROR(__xludf.DUMMYFUNCTION("""COMPUTED_VALUE"""),"Sorghastrum")</f>
        <v>Sorghastrum</v>
      </c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>
      <c r="A88" s="9">
        <v>2</v>
      </c>
      <c r="B88" s="11">
        <v>43809</v>
      </c>
      <c r="C88" s="9" t="s">
        <v>192</v>
      </c>
      <c r="D88" s="9">
        <v>3</v>
      </c>
      <c r="E88" s="9" t="s">
        <v>153</v>
      </c>
      <c r="F88" s="9" t="s">
        <v>154</v>
      </c>
      <c r="G88" s="9" t="s">
        <v>155</v>
      </c>
      <c r="H88" s="9" t="s">
        <v>156</v>
      </c>
      <c r="I88" s="9">
        <v>2</v>
      </c>
      <c r="J88" s="9">
        <v>3</v>
      </c>
      <c r="K88" s="9"/>
      <c r="L88" s="9"/>
      <c r="M88" s="10"/>
      <c r="N88" s="10"/>
      <c r="O88" s="10" t="str">
        <f ca="1">IFERROR(__xludf.DUMMYFUNCTION("""COMPUTED_VALUE"""),"Vitus")</f>
        <v>Vitus</v>
      </c>
      <c r="P88" s="10" t="str">
        <f ca="1">IFERROR(__xludf.DUMMYFUNCTION("""COMPUTED_VALUE"""),"Rubus cuneifolius")</f>
        <v>Rubus cuneifolius</v>
      </c>
      <c r="Q88" s="10" t="str">
        <f ca="1">IFERROR(__xludf.DUMMYFUNCTION("""COMPUTED_VALUE"""),"Southern Magnolia")</f>
        <v>Southern Magnolia</v>
      </c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>
      <c r="A89" s="9">
        <v>2</v>
      </c>
      <c r="B89" s="11">
        <v>43809</v>
      </c>
      <c r="C89" s="9" t="s">
        <v>192</v>
      </c>
      <c r="D89" s="9">
        <v>4</v>
      </c>
      <c r="E89" s="9" t="s">
        <v>67</v>
      </c>
      <c r="F89" s="9" t="s">
        <v>68</v>
      </c>
      <c r="G89" s="9" t="s">
        <v>69</v>
      </c>
      <c r="H89" s="9" t="s">
        <v>70</v>
      </c>
      <c r="I89" s="9">
        <v>2</v>
      </c>
      <c r="J89" s="9">
        <v>7</v>
      </c>
      <c r="K89" s="9" t="s">
        <v>382</v>
      </c>
      <c r="L89" s="9"/>
      <c r="M89" s="10"/>
      <c r="N89" s="10"/>
      <c r="O89" s="10"/>
      <c r="P89" s="10" t="str">
        <f ca="1">IFERROR(__xludf.DUMMYFUNCTION("""COMPUTED_VALUE"""),"Sabal palmetto")</f>
        <v>Sabal palmetto</v>
      </c>
      <c r="Q89" s="10" t="str">
        <f ca="1">IFERROR(__xludf.DUMMYFUNCTION("""COMPUTED_VALUE"""),"Southern Red Oak")</f>
        <v>Southern Red Oak</v>
      </c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>
      <c r="A90" s="9">
        <v>2</v>
      </c>
      <c r="B90" s="11">
        <v>43809</v>
      </c>
      <c r="C90" s="9" t="s">
        <v>192</v>
      </c>
      <c r="D90" s="9">
        <v>4</v>
      </c>
      <c r="E90" s="9" t="s">
        <v>81</v>
      </c>
      <c r="F90" s="9" t="s">
        <v>82</v>
      </c>
      <c r="G90" s="9" t="s">
        <v>193</v>
      </c>
      <c r="H90" s="9" t="s">
        <v>194</v>
      </c>
      <c r="I90" s="9">
        <v>3</v>
      </c>
      <c r="J90" s="9">
        <v>6</v>
      </c>
      <c r="K90" s="9"/>
      <c r="L90" s="9"/>
      <c r="M90" s="10"/>
      <c r="N90" s="10"/>
      <c r="O90" s="10"/>
      <c r="P90" s="10" t="str">
        <f ca="1">IFERROR(__xludf.DUMMYFUNCTION("""COMPUTED_VALUE"""),"Scleria sp.")</f>
        <v>Scleria sp.</v>
      </c>
      <c r="Q90" s="10" t="str">
        <f ca="1">IFERROR(__xludf.DUMMYFUNCTION("""COMPUTED_VALUE"""),"Spanish Needle")</f>
        <v>Spanish Needle</v>
      </c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>
      <c r="A91" s="9">
        <v>2</v>
      </c>
      <c r="B91" s="11">
        <v>43809</v>
      </c>
      <c r="C91" s="9" t="s">
        <v>192</v>
      </c>
      <c r="D91" s="9">
        <v>1</v>
      </c>
      <c r="E91" s="9" t="s">
        <v>25</v>
      </c>
      <c r="F91" s="9" t="s">
        <v>179</v>
      </c>
      <c r="G91" s="9" t="s">
        <v>180</v>
      </c>
      <c r="H91" s="10" t="s">
        <v>181</v>
      </c>
      <c r="I91" s="9">
        <v>2</v>
      </c>
      <c r="J91" s="9">
        <v>4</v>
      </c>
      <c r="K91" s="9" t="s">
        <v>383</v>
      </c>
      <c r="L91" s="9"/>
      <c r="M91" s="10"/>
      <c r="N91" s="10"/>
      <c r="O91" s="10"/>
      <c r="P91" s="10" t="str">
        <f ca="1">IFERROR(__xludf.DUMMYFUNCTION("""COMPUTED_VALUE"""),"Serenoa repens")</f>
        <v>Serenoa repens</v>
      </c>
      <c r="Q91" s="10" t="str">
        <f ca="1">IFERROR(__xludf.DUMMYFUNCTION("""COMPUTED_VALUE"""),"Spurge")</f>
        <v>Spurge</v>
      </c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>
      <c r="A92" s="9">
        <v>2</v>
      </c>
      <c r="B92" s="11">
        <v>43809</v>
      </c>
      <c r="C92" s="9" t="s">
        <v>192</v>
      </c>
      <c r="D92" s="9">
        <v>4</v>
      </c>
      <c r="E92" s="9" t="s">
        <v>67</v>
      </c>
      <c r="F92" s="9" t="s">
        <v>68</v>
      </c>
      <c r="G92" s="9" t="s">
        <v>230</v>
      </c>
      <c r="H92" s="9" t="s">
        <v>384</v>
      </c>
      <c r="I92" s="9">
        <v>0</v>
      </c>
      <c r="J92" s="9">
        <v>6</v>
      </c>
      <c r="K92" s="9"/>
      <c r="L92" s="9"/>
      <c r="M92" s="10"/>
      <c r="N92" s="10"/>
      <c r="O92" s="10"/>
      <c r="P92" s="10" t="str">
        <f ca="1">IFERROR(__xludf.DUMMYFUNCTION("""COMPUTED_VALUE"""),"Setaria parviflora")</f>
        <v>Setaria parviflora</v>
      </c>
      <c r="Q92" s="10" t="str">
        <f ca="1">IFERROR(__xludf.DUMMYFUNCTION("""COMPUTED_VALUE"""),"Spurred Butterfly Pea")</f>
        <v>Spurred Butterfly Pea</v>
      </c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>
      <c r="A93" s="9">
        <v>2</v>
      </c>
      <c r="B93" s="11">
        <v>43809</v>
      </c>
      <c r="C93" s="9" t="s">
        <v>192</v>
      </c>
      <c r="D93" s="9">
        <v>2</v>
      </c>
      <c r="E93" s="9" t="s">
        <v>385</v>
      </c>
      <c r="F93" s="9" t="s">
        <v>386</v>
      </c>
      <c r="G93" s="9" t="s">
        <v>387</v>
      </c>
      <c r="H93" s="10" t="s">
        <v>388</v>
      </c>
      <c r="I93" s="9">
        <v>1</v>
      </c>
      <c r="J93" s="9">
        <v>5</v>
      </c>
      <c r="K93" s="9"/>
      <c r="L93" s="9"/>
      <c r="M93" s="9"/>
      <c r="N93" s="9"/>
      <c r="O93" s="9"/>
      <c r="P93" s="9" t="str">
        <f ca="1">IFERROR(__xludf.DUMMYFUNCTION("""COMPUTED_VALUE"""),"Smilax bona-nox")</f>
        <v>Smilax bona-nox</v>
      </c>
      <c r="Q93" s="9" t="str">
        <f ca="1">IFERROR(__xludf.DUMMYFUNCTION("""COMPUTED_VALUE"""),"Spurred butterfly pea")</f>
        <v>Spurred butterfly pea</v>
      </c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>
      <c r="A94" s="9">
        <v>2</v>
      </c>
      <c r="B94" s="11">
        <v>43809</v>
      </c>
      <c r="C94" s="9" t="s">
        <v>192</v>
      </c>
      <c r="D94" s="9">
        <v>4</v>
      </c>
      <c r="E94" s="9" t="s">
        <v>21</v>
      </c>
      <c r="F94" s="9" t="s">
        <v>22</v>
      </c>
      <c r="G94" s="9" t="s">
        <v>23</v>
      </c>
      <c r="H94" s="9" t="s">
        <v>24</v>
      </c>
      <c r="I94" s="9">
        <v>3</v>
      </c>
      <c r="J94" s="9">
        <v>5</v>
      </c>
      <c r="K94" s="9"/>
      <c r="L94" s="9"/>
      <c r="M94" s="9"/>
      <c r="N94" s="9"/>
      <c r="O94" s="9"/>
      <c r="P94" s="9" t="str">
        <f ca="1">IFERROR(__xludf.DUMMYFUNCTION("""COMPUTED_VALUE"""),"Smilax glauca")</f>
        <v>Smilax glauca</v>
      </c>
      <c r="Q94" s="9" t="str">
        <f ca="1">IFERROR(__xludf.DUMMYFUNCTION("""COMPUTED_VALUE"""),"St Johns Wort")</f>
        <v>St Johns Wort</v>
      </c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>
      <c r="A95" s="9">
        <v>2</v>
      </c>
      <c r="B95" s="11">
        <v>43809</v>
      </c>
      <c r="C95" s="9" t="s">
        <v>192</v>
      </c>
      <c r="D95" s="9">
        <v>4</v>
      </c>
      <c r="E95" s="9" t="s">
        <v>88</v>
      </c>
      <c r="F95" s="9" t="s">
        <v>89</v>
      </c>
      <c r="G95" s="9" t="s">
        <v>90</v>
      </c>
      <c r="H95" s="9" t="s">
        <v>91</v>
      </c>
      <c r="I95" s="9">
        <v>2</v>
      </c>
      <c r="J95" s="9">
        <v>3</v>
      </c>
      <c r="K95" s="9"/>
      <c r="L95" s="9"/>
      <c r="M95" s="9"/>
      <c r="N95" s="9"/>
      <c r="O95" s="9"/>
      <c r="P95" s="9" t="str">
        <f ca="1">IFERROR(__xludf.DUMMYFUNCTION("""COMPUTED_VALUE"""),"Smilax laurifolia")</f>
        <v>Smilax laurifolia</v>
      </c>
      <c r="Q95" s="9" t="str">
        <f ca="1">IFERROR(__xludf.DUMMYFUNCTION("""COMPUTED_VALUE"""),"Stinging Nettle")</f>
        <v>Stinging Nettle</v>
      </c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>
      <c r="A96" s="9">
        <v>2</v>
      </c>
      <c r="B96" s="11">
        <v>43809</v>
      </c>
      <c r="C96" s="9" t="s">
        <v>192</v>
      </c>
      <c r="D96" s="9">
        <v>4</v>
      </c>
      <c r="E96" s="9" t="s">
        <v>77</v>
      </c>
      <c r="F96" s="9" t="s">
        <v>78</v>
      </c>
      <c r="G96" s="9" t="s">
        <v>79</v>
      </c>
      <c r="H96" s="9" t="s">
        <v>80</v>
      </c>
      <c r="I96" s="9">
        <v>2</v>
      </c>
      <c r="J96" s="9">
        <v>6</v>
      </c>
      <c r="K96" s="9"/>
      <c r="L96" s="9"/>
      <c r="M96" s="9"/>
      <c r="N96" s="9"/>
      <c r="O96" s="9"/>
      <c r="P96" s="9" t="str">
        <f ca="1">IFERROR(__xludf.DUMMYFUNCTION("""COMPUTED_VALUE"""),"Smilax laurifolia
")</f>
        <v xml:space="preserve">Smilax laurifolia
</v>
      </c>
      <c r="Q96" s="9" t="str">
        <f ca="1">IFERROR(__xludf.DUMMYFUNCTION("""COMPUTED_VALUE"""),"Sugarberry")</f>
        <v>Sugarberry</v>
      </c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>
      <c r="A97" s="9">
        <v>2</v>
      </c>
      <c r="B97" s="11">
        <v>43809</v>
      </c>
      <c r="C97" s="9" t="s">
        <v>192</v>
      </c>
      <c r="D97" s="9">
        <v>4</v>
      </c>
      <c r="E97" s="9" t="s">
        <v>63</v>
      </c>
      <c r="F97" s="9" t="s">
        <v>196</v>
      </c>
      <c r="G97" s="9" t="s">
        <v>197</v>
      </c>
      <c r="H97" s="9" t="s">
        <v>198</v>
      </c>
      <c r="I97" s="9">
        <v>1</v>
      </c>
      <c r="J97" s="9">
        <v>3</v>
      </c>
      <c r="K97" s="9"/>
      <c r="L97" s="9"/>
      <c r="M97" s="9"/>
      <c r="N97" s="9"/>
      <c r="O97" s="9"/>
      <c r="P97" s="9" t="str">
        <f ca="1">IFERROR(__xludf.DUMMYFUNCTION("""COMPUTED_VALUE"""),"Smilax spp.")</f>
        <v>Smilax spp.</v>
      </c>
      <c r="Q97" s="9" t="str">
        <f ca="1">IFERROR(__xludf.DUMMYFUNCTION("""COMPUTED_VALUE"""),"Summer Grape")</f>
        <v>Summer Grape</v>
      </c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>
      <c r="A98" s="9">
        <v>2</v>
      </c>
      <c r="B98" s="11">
        <v>43809</v>
      </c>
      <c r="C98" s="9" t="s">
        <v>192</v>
      </c>
      <c r="D98" s="9">
        <v>4</v>
      </c>
      <c r="E98" s="9" t="s">
        <v>21</v>
      </c>
      <c r="F98" s="9" t="s">
        <v>72</v>
      </c>
      <c r="G98" s="9" t="s">
        <v>73</v>
      </c>
      <c r="H98" s="9" t="s">
        <v>74</v>
      </c>
      <c r="I98" s="9">
        <v>1</v>
      </c>
      <c r="J98" s="9">
        <v>6</v>
      </c>
      <c r="K98" s="9" t="s">
        <v>382</v>
      </c>
      <c r="L98" s="9"/>
      <c r="M98" s="9"/>
      <c r="N98" s="9"/>
      <c r="O98" s="9"/>
      <c r="P98" s="9" t="str">
        <f ca="1">IFERROR(__xludf.DUMMYFUNCTION("""COMPUTED_VALUE"""),"Soladago spp.")</f>
        <v>Soladago spp.</v>
      </c>
      <c r="Q98" s="9" t="str">
        <f ca="1">IFERROR(__xludf.DUMMYFUNCTION("""COMPUTED_VALUE"""),"Sunflower")</f>
        <v>Sunflower</v>
      </c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>
      <c r="A99" s="9">
        <v>2</v>
      </c>
      <c r="B99" s="11">
        <v>43809</v>
      </c>
      <c r="C99" s="9" t="s">
        <v>192</v>
      </c>
      <c r="D99" s="9">
        <v>4</v>
      </c>
      <c r="E99" s="9" t="s">
        <v>25</v>
      </c>
      <c r="F99" s="9" t="s">
        <v>101</v>
      </c>
      <c r="G99" s="9" t="s">
        <v>102</v>
      </c>
      <c r="H99" s="9" t="s">
        <v>103</v>
      </c>
      <c r="I99" s="9">
        <v>1</v>
      </c>
      <c r="J99" s="9">
        <v>4</v>
      </c>
      <c r="K99" s="9"/>
      <c r="L99" s="9"/>
      <c r="M99" s="9"/>
      <c r="N99" s="9"/>
      <c r="O99" s="9"/>
      <c r="P99" s="9" t="str">
        <f ca="1">IFERROR(__xludf.DUMMYFUNCTION("""COMPUTED_VALUE"""),"Solidago sp.")</f>
        <v>Solidago sp.</v>
      </c>
      <c r="Q99" s="9" t="str">
        <f ca="1">IFERROR(__xludf.DUMMYFUNCTION("""COMPUTED_VALUE"""),"Swamp chestnut oak")</f>
        <v>Swamp chestnut oak</v>
      </c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>
      <c r="A100" s="9">
        <v>2</v>
      </c>
      <c r="B100" s="11">
        <v>43809</v>
      </c>
      <c r="C100" s="9" t="s">
        <v>192</v>
      </c>
      <c r="D100" s="9">
        <v>4</v>
      </c>
      <c r="E100" s="9" t="s">
        <v>63</v>
      </c>
      <c r="F100" s="9" t="s">
        <v>167</v>
      </c>
      <c r="G100" s="9" t="s">
        <v>168</v>
      </c>
      <c r="H100" s="9" t="s">
        <v>169</v>
      </c>
      <c r="I100" s="9">
        <v>1</v>
      </c>
      <c r="J100" s="9">
        <v>5</v>
      </c>
      <c r="K100" s="9"/>
      <c r="L100" s="9"/>
      <c r="M100" s="9"/>
      <c r="N100" s="9"/>
      <c r="O100" s="9"/>
      <c r="P100" s="9" t="str">
        <f ca="1">IFERROR(__xludf.DUMMYFUNCTION("""COMPUTED_VALUE"""),"Solidago spp.")</f>
        <v>Solidago spp.</v>
      </c>
      <c r="Q100" s="9" t="str">
        <f ca="1">IFERROR(__xludf.DUMMYFUNCTION("""COMPUTED_VALUE"""),"Sweetgum")</f>
        <v>Sweetgum</v>
      </c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>
      <c r="A101" s="9">
        <v>2</v>
      </c>
      <c r="B101" s="11">
        <v>43809</v>
      </c>
      <c r="C101" s="9" t="s">
        <v>192</v>
      </c>
      <c r="D101" s="9">
        <v>4</v>
      </c>
      <c r="E101" s="9" t="s">
        <v>40</v>
      </c>
      <c r="F101" s="9" t="s">
        <v>199</v>
      </c>
      <c r="G101" s="9" t="s">
        <v>200</v>
      </c>
      <c r="H101" s="9" t="s">
        <v>201</v>
      </c>
      <c r="I101" s="9">
        <v>1</v>
      </c>
      <c r="J101" s="9">
        <v>2</v>
      </c>
      <c r="K101" s="9"/>
      <c r="L101" s="9"/>
      <c r="M101" s="9"/>
      <c r="N101" s="9"/>
      <c r="O101" s="9"/>
      <c r="P101" s="9" t="str">
        <f ca="1">IFERROR(__xludf.DUMMYFUNCTION("""COMPUTED_VALUE"""),"Sorghastrum spp.")</f>
        <v>Sorghastrum spp.</v>
      </c>
      <c r="Q101" s="9" t="str">
        <f ca="1">IFERROR(__xludf.DUMMYFUNCTION("""COMPUTED_VALUE"""),"Tall Elephantsfoot")</f>
        <v>Tall Elephantsfoot</v>
      </c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>
      <c r="A102" s="9">
        <v>2</v>
      </c>
      <c r="B102" s="11">
        <v>43809</v>
      </c>
      <c r="C102" s="9" t="s">
        <v>192</v>
      </c>
      <c r="D102" s="9">
        <v>2</v>
      </c>
      <c r="E102" s="9" t="s">
        <v>55</v>
      </c>
      <c r="F102" s="9" t="s">
        <v>143</v>
      </c>
      <c r="G102" s="9" t="s">
        <v>144</v>
      </c>
      <c r="H102" s="9" t="s">
        <v>143</v>
      </c>
      <c r="I102" s="9">
        <v>1</v>
      </c>
      <c r="J102" s="9">
        <v>4</v>
      </c>
      <c r="K102" s="9"/>
      <c r="L102" s="9"/>
      <c r="M102" s="9"/>
      <c r="N102" s="9"/>
      <c r="O102" s="9"/>
      <c r="P102" s="9" t="str">
        <f ca="1">IFERROR(__xludf.DUMMYFUNCTION("""COMPUTED_VALUE"""),"Sorghum halapense")</f>
        <v>Sorghum halapense</v>
      </c>
      <c r="Q102" s="9" t="str">
        <f ca="1">IFERROR(__xludf.DUMMYFUNCTION("""COMPUTED_VALUE"""),"Toothache Tree")</f>
        <v>Toothache Tree</v>
      </c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>
      <c r="A103" s="9">
        <v>2</v>
      </c>
      <c r="B103" s="11">
        <v>43809</v>
      </c>
      <c r="C103" s="9" t="s">
        <v>192</v>
      </c>
      <c r="D103" s="9">
        <v>4</v>
      </c>
      <c r="E103" s="9" t="s">
        <v>55</v>
      </c>
      <c r="F103" s="9" t="s">
        <v>164</v>
      </c>
      <c r="G103" s="9" t="s">
        <v>165</v>
      </c>
      <c r="H103" s="9" t="s">
        <v>166</v>
      </c>
      <c r="I103" s="9">
        <v>1</v>
      </c>
      <c r="J103" s="9">
        <v>4</v>
      </c>
      <c r="K103" s="9"/>
      <c r="L103" s="9"/>
      <c r="M103" s="9"/>
      <c r="N103" s="9"/>
      <c r="O103" s="9"/>
      <c r="P103" s="9" t="str">
        <f ca="1">IFERROR(__xludf.DUMMYFUNCTION("""COMPUTED_VALUE"""),"Sorghum halepense")</f>
        <v>Sorghum halepense</v>
      </c>
      <c r="Q103" s="9" t="str">
        <f ca="1">IFERROR(__xludf.DUMMYFUNCTION("""COMPUTED_VALUE"""),"Twinflower")</f>
        <v>Twinflower</v>
      </c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>
      <c r="A104" s="9">
        <v>2</v>
      </c>
      <c r="B104" s="11">
        <v>43809</v>
      </c>
      <c r="C104" s="9" t="s">
        <v>192</v>
      </c>
      <c r="D104" s="9">
        <v>2</v>
      </c>
      <c r="E104" s="9" t="s">
        <v>55</v>
      </c>
      <c r="F104" s="9" t="s">
        <v>202</v>
      </c>
      <c r="G104" s="9" t="s">
        <v>203</v>
      </c>
      <c r="H104" s="9" t="s">
        <v>204</v>
      </c>
      <c r="I104" s="9">
        <v>1</v>
      </c>
      <c r="J104" s="9">
        <v>3</v>
      </c>
      <c r="K104" s="9"/>
      <c r="L104" s="9"/>
      <c r="M104" s="9"/>
      <c r="N104" s="9"/>
      <c r="O104" s="9"/>
      <c r="P104" s="9" t="str">
        <f ca="1">IFERROR(__xludf.DUMMYFUNCTION("""COMPUTED_VALUE"""),"Stachys floridana")</f>
        <v>Stachys floridana</v>
      </c>
      <c r="Q104" s="9" t="str">
        <f ca="1">IFERROR(__xludf.DUMMYFUNCTION("""COMPUTED_VALUE"""),"Twining Snoutbean")</f>
        <v>Twining Snoutbean</v>
      </c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>
      <c r="A105" s="9">
        <v>2</v>
      </c>
      <c r="B105" s="11">
        <v>43809</v>
      </c>
      <c r="C105" s="9" t="s">
        <v>192</v>
      </c>
      <c r="D105" s="9">
        <v>4</v>
      </c>
      <c r="E105" s="9" t="s">
        <v>160</v>
      </c>
      <c r="F105" s="9" t="s">
        <v>161</v>
      </c>
      <c r="G105" s="9" t="s">
        <v>162</v>
      </c>
      <c r="H105" s="9" t="s">
        <v>163</v>
      </c>
      <c r="I105" s="9">
        <v>1</v>
      </c>
      <c r="J105" s="9">
        <v>4</v>
      </c>
      <c r="K105" s="9"/>
      <c r="L105" s="9"/>
      <c r="M105" s="9"/>
      <c r="N105" s="9"/>
      <c r="O105" s="9"/>
      <c r="P105" s="9" t="str">
        <f ca="1">IFERROR(__xludf.DUMMYFUNCTION("""COMPUTED_VALUE"""),"Toxicodendron pubescens")</f>
        <v>Toxicodendron pubescens</v>
      </c>
      <c r="Q105" s="9" t="str">
        <f ca="1">IFERROR(__xludf.DUMMYFUNCTION("""COMPUTED_VALUE"""),"unknown oak")</f>
        <v>unknown oak</v>
      </c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>
      <c r="A106" s="9">
        <v>2</v>
      </c>
      <c r="B106" s="11">
        <v>43809</v>
      </c>
      <c r="C106" s="9" t="s">
        <v>192</v>
      </c>
      <c r="D106" s="9">
        <v>4</v>
      </c>
      <c r="E106" s="9" t="s">
        <v>55</v>
      </c>
      <c r="F106" s="9" t="s">
        <v>189</v>
      </c>
      <c r="G106" s="9" t="s">
        <v>190</v>
      </c>
      <c r="H106" s="9" t="s">
        <v>191</v>
      </c>
      <c r="I106" s="9">
        <v>1</v>
      </c>
      <c r="J106" s="9">
        <v>4</v>
      </c>
      <c r="K106" s="9"/>
      <c r="L106" s="9"/>
      <c r="M106" s="9"/>
      <c r="N106" s="9"/>
      <c r="O106" s="9"/>
      <c r="P106" s="9" t="str">
        <f ca="1">IFERROR(__xludf.DUMMYFUNCTION("""COMPUTED_VALUE"""),"Trifolium spp.")</f>
        <v>Trifolium spp.</v>
      </c>
      <c r="Q106" s="9" t="str">
        <f ca="1">IFERROR(__xludf.DUMMYFUNCTION("""COMPUTED_VALUE"""),"Viburnum")</f>
        <v>Viburnum</v>
      </c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>
      <c r="A107" s="9">
        <v>2</v>
      </c>
      <c r="B107" s="11">
        <v>43809</v>
      </c>
      <c r="C107" s="9" t="s">
        <v>192</v>
      </c>
      <c r="D107" s="9">
        <v>4</v>
      </c>
      <c r="E107" s="9" t="s">
        <v>124</v>
      </c>
      <c r="F107" s="9" t="s">
        <v>125</v>
      </c>
      <c r="G107" s="9" t="s">
        <v>126</v>
      </c>
      <c r="H107" s="9" t="s">
        <v>127</v>
      </c>
      <c r="I107" s="9">
        <v>1</v>
      </c>
      <c r="J107" s="9">
        <v>4</v>
      </c>
      <c r="K107" s="9"/>
      <c r="L107" s="9"/>
      <c r="M107" s="9"/>
      <c r="N107" s="9"/>
      <c r="O107" s="9"/>
      <c r="P107" s="9" t="str">
        <f ca="1">IFERROR(__xludf.DUMMYFUNCTION("""COMPUTED_VALUE"""),"UK - Fleshy Vine")</f>
        <v>UK - Fleshy Vine</v>
      </c>
      <c r="Q107" s="9" t="str">
        <f ca="1">IFERROR(__xludf.DUMMYFUNCTION("""COMPUTED_VALUE"""),"Virginia Creeper")</f>
        <v>Virginia Creeper</v>
      </c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7.25" customHeight="1">
      <c r="A108" s="9">
        <v>2</v>
      </c>
      <c r="B108" s="11">
        <v>43809</v>
      </c>
      <c r="C108" s="9" t="s">
        <v>192</v>
      </c>
      <c r="D108" s="9">
        <v>2</v>
      </c>
      <c r="E108" s="9" t="s">
        <v>389</v>
      </c>
      <c r="F108" s="9" t="s">
        <v>335</v>
      </c>
      <c r="G108" s="9" t="s">
        <v>390</v>
      </c>
      <c r="H108" s="9" t="s">
        <v>337</v>
      </c>
      <c r="I108" s="9">
        <v>1</v>
      </c>
      <c r="J108" s="9">
        <v>3</v>
      </c>
      <c r="K108" s="9"/>
      <c r="L108" s="9"/>
      <c r="M108" s="9"/>
      <c r="N108" s="9"/>
      <c r="O108" s="9"/>
      <c r="P108" s="9" t="str">
        <f ca="1">IFERROR(__xludf.DUMMYFUNCTION("""COMPUTED_VALUE"""),"UK - Seedling")</f>
        <v>UK - Seedling</v>
      </c>
      <c r="Q108" s="9" t="str">
        <f ca="1">IFERROR(__xludf.DUMMYFUNCTION("""COMPUTED_VALUE"""),"Virginia creeper")</f>
        <v>Virginia creeper</v>
      </c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>
      <c r="A109" s="9">
        <v>2</v>
      </c>
      <c r="B109" s="11">
        <v>43809</v>
      </c>
      <c r="C109" s="9" t="s">
        <v>192</v>
      </c>
      <c r="D109" s="9">
        <v>4</v>
      </c>
      <c r="E109" s="9" t="s">
        <v>63</v>
      </c>
      <c r="F109" s="9" t="s">
        <v>359</v>
      </c>
      <c r="G109" s="9" t="s">
        <v>360</v>
      </c>
      <c r="H109" s="9" t="s">
        <v>391</v>
      </c>
      <c r="I109" s="9">
        <v>1</v>
      </c>
      <c r="J109" s="9">
        <v>3</v>
      </c>
      <c r="K109" s="9"/>
      <c r="L109" s="9"/>
      <c r="M109" s="9"/>
      <c r="N109" s="9"/>
      <c r="O109" s="9"/>
      <c r="P109" s="9" t="str">
        <f ca="1">IFERROR(__xludf.DUMMYFUNCTION("""COMPUTED_VALUE"""),"UK - Whirled Spiky Stem Vine")</f>
        <v>UK - Whirled Spiky Stem Vine</v>
      </c>
      <c r="Q109" s="9" t="str">
        <f ca="1">IFERROR(__xludf.DUMMYFUNCTION("""COMPUTED_VALUE"""),"Water Oak")</f>
        <v>Water Oak</v>
      </c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>
      <c r="A110" s="9">
        <v>2</v>
      </c>
      <c r="B110" s="11">
        <v>43809</v>
      </c>
      <c r="C110" s="9" t="s">
        <v>192</v>
      </c>
      <c r="D110" s="9">
        <v>4</v>
      </c>
      <c r="E110" s="9" t="s">
        <v>55</v>
      </c>
      <c r="F110" s="9" t="s">
        <v>137</v>
      </c>
      <c r="G110" s="9" t="s">
        <v>138</v>
      </c>
      <c r="H110" s="9" t="s">
        <v>139</v>
      </c>
      <c r="I110" s="9">
        <v>1</v>
      </c>
      <c r="J110" s="9">
        <v>4</v>
      </c>
      <c r="K110" s="9"/>
      <c r="L110" s="9"/>
      <c r="M110" s="9"/>
      <c r="N110" s="9"/>
      <c r="O110" s="9"/>
      <c r="P110" s="9" t="str">
        <f ca="1">IFERROR(__xludf.DUMMYFUNCTION("""COMPUTED_VALUE"""),"UK Furry Leaf")</f>
        <v>UK Furry Leaf</v>
      </c>
      <c r="Q110" s="9" t="str">
        <f ca="1">IFERROR(__xludf.DUMMYFUNCTION("""COMPUTED_VALUE"""),"Wild Radish")</f>
        <v>Wild Radish</v>
      </c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>
      <c r="A111" s="9">
        <v>2</v>
      </c>
      <c r="B111" s="11">
        <v>43809</v>
      </c>
      <c r="C111" s="9" t="s">
        <v>192</v>
      </c>
      <c r="D111" s="9">
        <v>4</v>
      </c>
      <c r="E111" s="9" t="s">
        <v>205</v>
      </c>
      <c r="F111" s="9" t="s">
        <v>206</v>
      </c>
      <c r="G111" s="9" t="s">
        <v>207</v>
      </c>
      <c r="H111" s="9" t="s">
        <v>208</v>
      </c>
      <c r="I111" s="9">
        <v>1</v>
      </c>
      <c r="J111" s="9">
        <v>1</v>
      </c>
      <c r="K111" s="9"/>
      <c r="L111" s="9"/>
      <c r="M111" s="9"/>
      <c r="N111" s="9"/>
      <c r="O111" s="9"/>
      <c r="P111" s="9" t="str">
        <f ca="1">IFERROR(__xludf.DUMMYFUNCTION("""COMPUTED_VALUE"""),"unk1 fuzzy leaves")</f>
        <v>unk1 fuzzy leaves</v>
      </c>
      <c r="Q111" s="9" t="str">
        <f ca="1">IFERROR(__xludf.DUMMYFUNCTION("""COMPUTED_VALUE"""),"Winged Sumac")</f>
        <v>Winged Sumac</v>
      </c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>
      <c r="A112" s="9">
        <v>2</v>
      </c>
      <c r="B112" s="11">
        <v>43809</v>
      </c>
      <c r="C112" s="9" t="s">
        <v>192</v>
      </c>
      <c r="D112" s="9">
        <v>3</v>
      </c>
      <c r="E112" s="9" t="s">
        <v>145</v>
      </c>
      <c r="F112" s="9" t="s">
        <v>146</v>
      </c>
      <c r="G112" s="9" t="s">
        <v>147</v>
      </c>
      <c r="H112" s="9" t="s">
        <v>148</v>
      </c>
      <c r="I112" s="9">
        <v>3</v>
      </c>
      <c r="J112" s="9">
        <v>2</v>
      </c>
      <c r="K112" s="9"/>
      <c r="L112" s="9"/>
      <c r="M112" s="9"/>
      <c r="N112" s="9"/>
      <c r="O112" s="9"/>
      <c r="P112" s="9" t="str">
        <f ca="1">IFERROR(__xludf.DUMMYFUNCTION("""COMPUTED_VALUE"""),"Unk2 to small")</f>
        <v>Unk2 to small</v>
      </c>
      <c r="Q112" s="9" t="str">
        <f ca="1">IFERROR(__xludf.DUMMYFUNCTION("""COMPUTED_VALUE"""),"Winged sumac")</f>
        <v>Winged sumac</v>
      </c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>
      <c r="A113" s="9">
        <v>2</v>
      </c>
      <c r="B113" s="11">
        <v>43809</v>
      </c>
      <c r="C113" s="9" t="s">
        <v>192</v>
      </c>
      <c r="D113" s="9">
        <v>2</v>
      </c>
      <c r="E113" s="9" t="s">
        <v>77</v>
      </c>
      <c r="F113" s="9" t="s">
        <v>78</v>
      </c>
      <c r="G113" s="9" t="s">
        <v>392</v>
      </c>
      <c r="H113" s="9" t="s">
        <v>393</v>
      </c>
      <c r="I113" s="9">
        <v>1</v>
      </c>
      <c r="J113" s="9">
        <v>4</v>
      </c>
      <c r="K113" s="9"/>
      <c r="L113" s="9"/>
      <c r="M113" s="9"/>
      <c r="N113" s="9"/>
      <c r="O113" s="9"/>
      <c r="P113" s="9" t="str">
        <f ca="1">IFERROR(__xludf.DUMMYFUNCTION("""COMPUTED_VALUE"""),"Vaccinium stamineum")</f>
        <v>Vaccinium stamineum</v>
      </c>
      <c r="Q113" s="9" t="str">
        <f ca="1">IFERROR(__xludf.DUMMYFUNCTION("""COMPUTED_VALUE"""),"Wiregrass")</f>
        <v>Wiregrass</v>
      </c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>
      <c r="A114" s="9">
        <v>2</v>
      </c>
      <c r="B114" s="11">
        <v>43817</v>
      </c>
      <c r="C114" s="9" t="s">
        <v>210</v>
      </c>
      <c r="D114" s="9">
        <v>2</v>
      </c>
      <c r="E114" s="9" t="s">
        <v>55</v>
      </c>
      <c r="F114" s="9" t="s">
        <v>117</v>
      </c>
      <c r="G114" s="12" t="s">
        <v>328</v>
      </c>
      <c r="H114" s="9" t="s">
        <v>119</v>
      </c>
      <c r="I114" s="9">
        <v>5</v>
      </c>
      <c r="J114" s="9">
        <v>3</v>
      </c>
      <c r="K114" s="9"/>
      <c r="L114" s="9"/>
      <c r="M114" s="9"/>
      <c r="N114" s="9"/>
      <c r="O114" s="9"/>
      <c r="P114" s="9" t="str">
        <f ca="1">IFERROR(__xludf.DUMMYFUNCTION("""COMPUTED_VALUE"""),"Viburnum sp.")</f>
        <v>Viburnum sp.</v>
      </c>
      <c r="Q114" s="9" t="str">
        <f ca="1">IFERROR(__xludf.DUMMYFUNCTION("""COMPUTED_VALUE"""),"Witchgrass")</f>
        <v>Witchgrass</v>
      </c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>
      <c r="A115" s="9">
        <v>2</v>
      </c>
      <c r="B115" s="11">
        <v>43817</v>
      </c>
      <c r="C115" s="9" t="s">
        <v>210</v>
      </c>
      <c r="D115" s="9">
        <v>2</v>
      </c>
      <c r="E115" s="9" t="s">
        <v>77</v>
      </c>
      <c r="F115" s="9" t="s">
        <v>78</v>
      </c>
      <c r="G115" s="9" t="s">
        <v>370</v>
      </c>
      <c r="H115" s="9" t="s">
        <v>371</v>
      </c>
      <c r="I115" s="9">
        <v>3</v>
      </c>
      <c r="J115" s="9">
        <v>5</v>
      </c>
      <c r="K115" s="9"/>
      <c r="L115" s="9"/>
      <c r="M115" s="9"/>
      <c r="N115" s="9"/>
      <c r="O115" s="9"/>
      <c r="P115" s="9" t="str">
        <f ca="1">IFERROR(__xludf.DUMMYFUNCTION("""COMPUTED_VALUE"""),"Vitis aestivalis")</f>
        <v>Vitis aestivalis</v>
      </c>
      <c r="Q115" s="9" t="str">
        <f ca="1">IFERROR(__xludf.DUMMYFUNCTION("""COMPUTED_VALUE"""),"Wood Sorrel")</f>
        <v>Wood Sorrel</v>
      </c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>
      <c r="A116" s="9">
        <v>2</v>
      </c>
      <c r="B116" s="11">
        <v>43817</v>
      </c>
      <c r="C116" s="9" t="s">
        <v>210</v>
      </c>
      <c r="D116" s="9">
        <v>4</v>
      </c>
      <c r="E116" s="9" t="s">
        <v>81</v>
      </c>
      <c r="F116" s="9" t="s">
        <v>82</v>
      </c>
      <c r="G116" s="9" t="s">
        <v>135</v>
      </c>
      <c r="H116" s="9" t="s">
        <v>394</v>
      </c>
      <c r="I116" s="9">
        <v>3</v>
      </c>
      <c r="J116" s="9">
        <v>6</v>
      </c>
      <c r="K116" s="9"/>
      <c r="L116" s="9"/>
      <c r="M116" s="9"/>
      <c r="N116" s="9"/>
      <c r="O116" s="9"/>
      <c r="P116" s="9" t="str">
        <f ca="1">IFERROR(__xludf.DUMMYFUNCTION("""COMPUTED_VALUE"""),"Vitis rotundifolia")</f>
        <v>Vitis rotundifolia</v>
      </c>
      <c r="Q116" s="9" t="str">
        <f ca="1">IFERROR(__xludf.DUMMYFUNCTION("""COMPUTED_VALUE"""),"Woodsorrel")</f>
        <v>Woodsorrel</v>
      </c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>
      <c r="A117" s="9">
        <v>2</v>
      </c>
      <c r="B117" s="11">
        <v>43817</v>
      </c>
      <c r="C117" s="9" t="s">
        <v>210</v>
      </c>
      <c r="D117" s="9">
        <v>4</v>
      </c>
      <c r="E117" s="9" t="s">
        <v>342</v>
      </c>
      <c r="F117" s="9" t="s">
        <v>325</v>
      </c>
      <c r="G117" s="9" t="s">
        <v>395</v>
      </c>
      <c r="H117" s="9" t="s">
        <v>391</v>
      </c>
      <c r="I117" s="9">
        <v>2</v>
      </c>
      <c r="J117" s="9">
        <v>3</v>
      </c>
      <c r="K117" s="9"/>
      <c r="L117" s="9"/>
      <c r="M117" s="9"/>
      <c r="N117" s="9"/>
      <c r="O117" s="9"/>
      <c r="P117" s="9" t="str">
        <f ca="1">IFERROR(__xludf.DUMMYFUNCTION("""COMPUTED_VALUE"""),"Vitis sp.")</f>
        <v>Vitis sp.</v>
      </c>
      <c r="Q117" s="9" t="str">
        <f ca="1">IFERROR(__xludf.DUMMYFUNCTION("""COMPUTED_VALUE"""),"Yellow Jessamine")</f>
        <v>Yellow Jessamine</v>
      </c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>
      <c r="A118" s="9">
        <v>2</v>
      </c>
      <c r="B118" s="11">
        <v>43817</v>
      </c>
      <c r="C118" s="9" t="s">
        <v>210</v>
      </c>
      <c r="D118" s="9">
        <v>4</v>
      </c>
      <c r="E118" s="9" t="s">
        <v>342</v>
      </c>
      <c r="F118" s="9" t="s">
        <v>396</v>
      </c>
      <c r="G118" s="9" t="s">
        <v>397</v>
      </c>
      <c r="H118" s="9" t="s">
        <v>398</v>
      </c>
      <c r="I118" s="9">
        <v>2</v>
      </c>
      <c r="J118" s="9">
        <v>2</v>
      </c>
      <c r="K118" s="9"/>
      <c r="L118" s="9"/>
      <c r="M118" s="9"/>
      <c r="N118" s="9"/>
      <c r="O118" s="9"/>
      <c r="P118" s="9" t="str">
        <f ca="1">IFERROR(__xludf.DUMMYFUNCTION("""COMPUTED_VALUE"""),"Vitus sp")</f>
        <v>Vitus sp</v>
      </c>
      <c r="Q118" s="9" t="str">
        <f ca="1">IFERROR(__xludf.DUMMYFUNCTION("""COMPUTED_VALUE"""),"Zarzaparrilla")</f>
        <v>Zarzaparrilla</v>
      </c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>
      <c r="A119" s="9">
        <v>2</v>
      </c>
      <c r="B119" s="11">
        <v>43817</v>
      </c>
      <c r="C119" s="9" t="s">
        <v>210</v>
      </c>
      <c r="D119" s="9">
        <v>4</v>
      </c>
      <c r="E119" s="9" t="s">
        <v>342</v>
      </c>
      <c r="F119" s="9" t="s">
        <v>196</v>
      </c>
      <c r="G119" s="9" t="s">
        <v>197</v>
      </c>
      <c r="H119" s="9" t="s">
        <v>399</v>
      </c>
      <c r="I119" s="9">
        <v>1</v>
      </c>
      <c r="J119" s="9">
        <v>4</v>
      </c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>
      <c r="A120" s="9">
        <v>2</v>
      </c>
      <c r="B120" s="11">
        <v>43817</v>
      </c>
      <c r="C120" s="9" t="s">
        <v>210</v>
      </c>
      <c r="D120" s="9">
        <v>4</v>
      </c>
      <c r="E120" s="9" t="s">
        <v>149</v>
      </c>
      <c r="F120" s="9" t="s">
        <v>400</v>
      </c>
      <c r="G120" s="9" t="s">
        <v>363</v>
      </c>
      <c r="H120" s="9" t="s">
        <v>364</v>
      </c>
      <c r="I120" s="9">
        <v>1</v>
      </c>
      <c r="J120" s="9">
        <v>4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>
      <c r="A121" s="9">
        <v>2</v>
      </c>
      <c r="B121" s="11">
        <v>43817</v>
      </c>
      <c r="C121" s="9" t="s">
        <v>210</v>
      </c>
      <c r="D121" s="9">
        <v>1</v>
      </c>
      <c r="E121" s="9" t="s">
        <v>145</v>
      </c>
      <c r="F121" s="9" t="s">
        <v>294</v>
      </c>
      <c r="G121" s="9" t="s">
        <v>401</v>
      </c>
      <c r="H121" s="9" t="s">
        <v>402</v>
      </c>
      <c r="I121" s="9">
        <v>1</v>
      </c>
      <c r="J121" s="9">
        <v>3</v>
      </c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>
      <c r="A122" s="9">
        <v>2</v>
      </c>
      <c r="B122" s="11">
        <v>43817</v>
      </c>
      <c r="C122" s="9" t="s">
        <v>210</v>
      </c>
      <c r="D122" s="9">
        <v>4</v>
      </c>
      <c r="E122" s="9" t="s">
        <v>25</v>
      </c>
      <c r="F122" s="9" t="s">
        <v>48</v>
      </c>
      <c r="G122" s="9" t="s">
        <v>49</v>
      </c>
      <c r="H122" s="9" t="s">
        <v>50</v>
      </c>
      <c r="I122" s="9">
        <v>3</v>
      </c>
      <c r="J122" s="9">
        <v>7</v>
      </c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>
      <c r="A123" s="9">
        <v>2</v>
      </c>
      <c r="B123" s="11">
        <v>43817</v>
      </c>
      <c r="C123" s="9" t="s">
        <v>210</v>
      </c>
      <c r="D123" s="9">
        <v>4</v>
      </c>
      <c r="E123" s="9" t="s">
        <v>403</v>
      </c>
      <c r="F123" s="9" t="s">
        <v>404</v>
      </c>
      <c r="G123" s="9" t="s">
        <v>405</v>
      </c>
      <c r="H123" s="9" t="s">
        <v>404</v>
      </c>
      <c r="I123" s="9">
        <v>1</v>
      </c>
      <c r="J123" s="9">
        <v>4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>
      <c r="A124" s="9">
        <v>2</v>
      </c>
      <c r="B124" s="11">
        <v>43817</v>
      </c>
      <c r="C124" s="9" t="s">
        <v>210</v>
      </c>
      <c r="D124" s="9">
        <v>4</v>
      </c>
      <c r="E124" s="9" t="s">
        <v>59</v>
      </c>
      <c r="F124" s="9" t="s">
        <v>60</v>
      </c>
      <c r="G124" s="9" t="s">
        <v>61</v>
      </c>
      <c r="H124" s="9" t="s">
        <v>62</v>
      </c>
      <c r="I124" s="9">
        <v>4</v>
      </c>
      <c r="J124" s="9">
        <v>3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>
      <c r="A125" s="9">
        <v>2</v>
      </c>
      <c r="B125" s="11">
        <v>43817</v>
      </c>
      <c r="C125" s="9" t="s">
        <v>210</v>
      </c>
      <c r="D125" s="9">
        <v>4</v>
      </c>
      <c r="E125" s="9" t="s">
        <v>44</v>
      </c>
      <c r="F125" s="9" t="s">
        <v>380</v>
      </c>
      <c r="G125" s="9" t="s">
        <v>121</v>
      </c>
      <c r="H125" s="9" t="s">
        <v>381</v>
      </c>
      <c r="I125" s="9">
        <v>1</v>
      </c>
      <c r="J125" s="9">
        <v>3</v>
      </c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>
      <c r="A126" s="9">
        <v>2</v>
      </c>
      <c r="B126" s="11">
        <v>43817</v>
      </c>
      <c r="C126" s="9" t="s">
        <v>210</v>
      </c>
      <c r="D126" s="9">
        <v>4</v>
      </c>
      <c r="E126" s="9" t="s">
        <v>77</v>
      </c>
      <c r="F126" s="9" t="s">
        <v>78</v>
      </c>
      <c r="G126" s="9" t="s">
        <v>79</v>
      </c>
      <c r="H126" s="9" t="s">
        <v>80</v>
      </c>
      <c r="I126" s="9">
        <v>3</v>
      </c>
      <c r="J126" s="9">
        <v>5</v>
      </c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>
      <c r="A127" s="9">
        <v>2</v>
      </c>
      <c r="B127" s="11">
        <v>43817</v>
      </c>
      <c r="C127" s="9" t="s">
        <v>210</v>
      </c>
      <c r="D127" s="9">
        <v>2</v>
      </c>
      <c r="E127" s="9" t="s">
        <v>84</v>
      </c>
      <c r="F127" s="9" t="s">
        <v>85</v>
      </c>
      <c r="G127" s="9" t="s">
        <v>86</v>
      </c>
      <c r="H127" s="9" t="s">
        <v>87</v>
      </c>
      <c r="I127" s="9">
        <v>1</v>
      </c>
      <c r="J127" s="9">
        <v>2</v>
      </c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>
      <c r="A128" s="9">
        <v>2</v>
      </c>
      <c r="B128" s="11">
        <v>43817</v>
      </c>
      <c r="C128" s="9" t="s">
        <v>210</v>
      </c>
      <c r="D128" s="9">
        <v>3</v>
      </c>
      <c r="E128" s="9" t="s">
        <v>81</v>
      </c>
      <c r="F128" s="9" t="s">
        <v>82</v>
      </c>
      <c r="G128" s="9" t="s">
        <v>83</v>
      </c>
      <c r="H128" s="9" t="s">
        <v>82</v>
      </c>
      <c r="I128" s="9">
        <v>4</v>
      </c>
      <c r="J128" s="9">
        <v>3</v>
      </c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>
      <c r="A129" s="9">
        <v>2</v>
      </c>
      <c r="B129" s="11">
        <v>43817</v>
      </c>
      <c r="C129" s="9" t="s">
        <v>210</v>
      </c>
      <c r="D129" s="9">
        <v>4</v>
      </c>
      <c r="E129" s="9" t="s">
        <v>55</v>
      </c>
      <c r="F129" s="9" t="s">
        <v>215</v>
      </c>
      <c r="G129" s="9" t="s">
        <v>216</v>
      </c>
      <c r="H129" s="9" t="s">
        <v>217</v>
      </c>
      <c r="I129" s="9">
        <v>1</v>
      </c>
      <c r="J129" s="9">
        <v>2</v>
      </c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>
      <c r="A130" s="9">
        <v>2</v>
      </c>
      <c r="B130" s="11">
        <v>43817</v>
      </c>
      <c r="C130" s="9" t="s">
        <v>210</v>
      </c>
      <c r="D130" s="9">
        <v>4</v>
      </c>
      <c r="E130" s="9" t="s">
        <v>44</v>
      </c>
      <c r="F130" s="9" t="s">
        <v>45</v>
      </c>
      <c r="G130" s="9" t="s">
        <v>218</v>
      </c>
      <c r="H130" s="9" t="s">
        <v>219</v>
      </c>
      <c r="I130" s="9">
        <v>1</v>
      </c>
      <c r="J130" s="9">
        <v>4</v>
      </c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>
      <c r="A131" s="9">
        <v>2</v>
      </c>
      <c r="B131" s="11">
        <v>43817</v>
      </c>
      <c r="C131" s="9" t="s">
        <v>210</v>
      </c>
      <c r="D131" s="9">
        <v>4</v>
      </c>
      <c r="E131" s="9" t="s">
        <v>220</v>
      </c>
      <c r="F131" s="9" t="s">
        <v>199</v>
      </c>
      <c r="G131" s="9" t="s">
        <v>200</v>
      </c>
      <c r="H131" s="9" t="s">
        <v>201</v>
      </c>
      <c r="I131" s="9">
        <v>2</v>
      </c>
      <c r="J131" s="9">
        <v>4</v>
      </c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>
      <c r="A132" s="9">
        <v>2</v>
      </c>
      <c r="B132" s="11">
        <v>43817</v>
      </c>
      <c r="C132" s="9" t="s">
        <v>210</v>
      </c>
      <c r="D132" s="9">
        <v>4</v>
      </c>
      <c r="E132" s="9" t="s">
        <v>21</v>
      </c>
      <c r="F132" s="9" t="s">
        <v>72</v>
      </c>
      <c r="G132" s="9" t="s">
        <v>221</v>
      </c>
      <c r="H132" s="9" t="s">
        <v>222</v>
      </c>
      <c r="I132" s="9">
        <v>1</v>
      </c>
      <c r="J132" s="9">
        <v>6</v>
      </c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>
      <c r="A133" s="9">
        <v>2</v>
      </c>
      <c r="B133" s="11">
        <v>43817</v>
      </c>
      <c r="C133" s="9" t="s">
        <v>210</v>
      </c>
      <c r="D133" s="9">
        <v>4</v>
      </c>
      <c r="E133" s="9" t="s">
        <v>51</v>
      </c>
      <c r="F133" s="9" t="s">
        <v>52</v>
      </c>
      <c r="G133" s="9" t="s">
        <v>53</v>
      </c>
      <c r="H133" s="9" t="s">
        <v>54</v>
      </c>
      <c r="I133" s="9">
        <v>2</v>
      </c>
      <c r="J133" s="9">
        <v>4</v>
      </c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>
      <c r="A134" s="9">
        <v>2</v>
      </c>
      <c r="B134" s="11">
        <v>43817</v>
      </c>
      <c r="C134" s="9" t="s">
        <v>210</v>
      </c>
      <c r="D134" s="9">
        <v>4</v>
      </c>
      <c r="E134" s="9" t="s">
        <v>124</v>
      </c>
      <c r="F134" s="9" t="s">
        <v>125</v>
      </c>
      <c r="G134" s="9" t="s">
        <v>126</v>
      </c>
      <c r="H134" s="9" t="s">
        <v>127</v>
      </c>
      <c r="I134" s="9">
        <v>2</v>
      </c>
      <c r="J134" s="9">
        <v>5</v>
      </c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>
      <c r="A135" s="9">
        <v>2</v>
      </c>
      <c r="B135" s="11">
        <v>43817</v>
      </c>
      <c r="C135" s="9" t="s">
        <v>210</v>
      </c>
      <c r="D135" s="9">
        <v>4</v>
      </c>
      <c r="E135" s="9" t="s">
        <v>67</v>
      </c>
      <c r="F135" s="9" t="s">
        <v>68</v>
      </c>
      <c r="G135" s="9" t="s">
        <v>69</v>
      </c>
      <c r="H135" s="9" t="s">
        <v>70</v>
      </c>
      <c r="I135" s="9">
        <v>1</v>
      </c>
      <c r="J135" s="9">
        <v>7</v>
      </c>
      <c r="K135" s="9" t="s">
        <v>406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>
      <c r="A136" s="9">
        <v>2</v>
      </c>
      <c r="B136" s="11">
        <v>43817</v>
      </c>
      <c r="C136" s="9" t="s">
        <v>210</v>
      </c>
      <c r="D136" s="9">
        <v>4</v>
      </c>
      <c r="E136" s="9" t="s">
        <v>21</v>
      </c>
      <c r="F136" s="9" t="s">
        <v>72</v>
      </c>
      <c r="G136" s="9" t="s">
        <v>73</v>
      </c>
      <c r="H136" s="9" t="s">
        <v>74</v>
      </c>
      <c r="I136" s="9">
        <v>1</v>
      </c>
      <c r="J136" s="9">
        <v>6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>
      <c r="A137" s="9">
        <v>2</v>
      </c>
      <c r="B137" s="11">
        <v>43817</v>
      </c>
      <c r="C137" s="9" t="s">
        <v>210</v>
      </c>
      <c r="D137" s="9">
        <v>4</v>
      </c>
      <c r="E137" s="9" t="s">
        <v>21</v>
      </c>
      <c r="F137" s="9" t="s">
        <v>22</v>
      </c>
      <c r="G137" s="9" t="s">
        <v>23</v>
      </c>
      <c r="H137" s="9" t="s">
        <v>24</v>
      </c>
      <c r="I137" s="9">
        <v>2</v>
      </c>
      <c r="J137" s="9">
        <v>7</v>
      </c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>
      <c r="A138" s="9">
        <v>2</v>
      </c>
      <c r="B138" s="11">
        <v>43817</v>
      </c>
      <c r="C138" s="9" t="s">
        <v>210</v>
      </c>
      <c r="D138" s="9">
        <v>4</v>
      </c>
      <c r="E138" s="9" t="s">
        <v>223</v>
      </c>
      <c r="F138" s="9" t="s">
        <v>224</v>
      </c>
      <c r="G138" s="9" t="s">
        <v>225</v>
      </c>
      <c r="H138" s="9" t="s">
        <v>226</v>
      </c>
      <c r="I138" s="9">
        <v>1</v>
      </c>
      <c r="J138" s="9">
        <v>3</v>
      </c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5.75" customHeight="1">
      <c r="A139" s="9">
        <v>2</v>
      </c>
      <c r="B139" s="11">
        <v>43817</v>
      </c>
      <c r="C139" s="9" t="s">
        <v>210</v>
      </c>
      <c r="D139" s="9">
        <v>2</v>
      </c>
      <c r="E139" s="9" t="s">
        <v>342</v>
      </c>
      <c r="F139" s="9" t="s">
        <v>291</v>
      </c>
      <c r="G139" s="9" t="s">
        <v>292</v>
      </c>
      <c r="H139" s="9" t="s">
        <v>293</v>
      </c>
      <c r="I139" s="9">
        <v>1</v>
      </c>
      <c r="J139" s="9">
        <v>2</v>
      </c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>
      <c r="A140" s="9">
        <v>2</v>
      </c>
      <c r="B140" s="11">
        <v>43817</v>
      </c>
      <c r="C140" s="9" t="s">
        <v>210</v>
      </c>
      <c r="D140" s="9">
        <v>4</v>
      </c>
      <c r="E140" s="9" t="s">
        <v>67</v>
      </c>
      <c r="F140" s="9" t="s">
        <v>68</v>
      </c>
      <c r="G140" s="9" t="s">
        <v>230</v>
      </c>
      <c r="H140" s="9" t="s">
        <v>231</v>
      </c>
      <c r="I140" s="9">
        <v>0</v>
      </c>
      <c r="J140" s="9" t="s">
        <v>407</v>
      </c>
      <c r="K140" s="9" t="s">
        <v>406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>
      <c r="A141" s="9">
        <v>2</v>
      </c>
      <c r="B141" s="11">
        <v>43817</v>
      </c>
      <c r="C141" s="9" t="s">
        <v>210</v>
      </c>
      <c r="D141" s="9">
        <v>4</v>
      </c>
      <c r="E141" s="9" t="s">
        <v>77</v>
      </c>
      <c r="F141" s="9" t="s">
        <v>78</v>
      </c>
      <c r="G141" s="9" t="s">
        <v>232</v>
      </c>
      <c r="H141" s="9" t="s">
        <v>233</v>
      </c>
      <c r="I141" s="9">
        <v>0</v>
      </c>
      <c r="J141" s="9">
        <v>5</v>
      </c>
      <c r="K141" s="9" t="s">
        <v>406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>
      <c r="A142" s="9">
        <v>2</v>
      </c>
      <c r="B142" s="11">
        <v>43809</v>
      </c>
      <c r="C142" s="9" t="s">
        <v>234</v>
      </c>
      <c r="D142" s="9">
        <v>2</v>
      </c>
      <c r="E142" s="9" t="s">
        <v>81</v>
      </c>
      <c r="F142" s="9" t="s">
        <v>408</v>
      </c>
      <c r="G142" s="10" t="s">
        <v>409</v>
      </c>
      <c r="H142" s="9" t="s">
        <v>194</v>
      </c>
      <c r="I142" s="9">
        <v>5</v>
      </c>
      <c r="J142" s="9">
        <v>3</v>
      </c>
      <c r="K142" s="9" t="s">
        <v>410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>
      <c r="A143" s="9">
        <v>2</v>
      </c>
      <c r="B143" s="11">
        <v>43809</v>
      </c>
      <c r="C143" s="9" t="s">
        <v>234</v>
      </c>
      <c r="D143" s="9">
        <v>4</v>
      </c>
      <c r="E143" s="9" t="s">
        <v>55</v>
      </c>
      <c r="F143" s="9" t="s">
        <v>411</v>
      </c>
      <c r="G143" s="10" t="s">
        <v>412</v>
      </c>
      <c r="H143" s="9" t="s">
        <v>413</v>
      </c>
      <c r="I143" s="9">
        <v>4</v>
      </c>
      <c r="J143" s="9">
        <v>3</v>
      </c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>
      <c r="A144" s="9">
        <v>2</v>
      </c>
      <c r="B144" s="11">
        <v>43809</v>
      </c>
      <c r="C144" s="9" t="s">
        <v>234</v>
      </c>
      <c r="D144" s="9">
        <v>2</v>
      </c>
      <c r="E144" s="9" t="s">
        <v>84</v>
      </c>
      <c r="F144" s="9" t="s">
        <v>85</v>
      </c>
      <c r="G144" s="9" t="s">
        <v>275</v>
      </c>
      <c r="H144" s="9" t="s">
        <v>276</v>
      </c>
      <c r="I144" s="9">
        <v>2</v>
      </c>
      <c r="J144" s="9">
        <v>3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>
      <c r="A145" s="9">
        <v>2</v>
      </c>
      <c r="B145" s="11">
        <v>43809</v>
      </c>
      <c r="C145" s="9" t="s">
        <v>234</v>
      </c>
      <c r="D145" s="9">
        <v>4</v>
      </c>
      <c r="E145" s="9" t="s">
        <v>51</v>
      </c>
      <c r="F145" s="9" t="s">
        <v>52</v>
      </c>
      <c r="G145" s="9" t="s">
        <v>53</v>
      </c>
      <c r="H145" s="9" t="s">
        <v>54</v>
      </c>
      <c r="I145" s="9">
        <v>2</v>
      </c>
      <c r="J145" s="9">
        <v>4</v>
      </c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>
      <c r="A146" s="9">
        <v>2</v>
      </c>
      <c r="B146" s="11">
        <v>43809</v>
      </c>
      <c r="C146" s="9" t="s">
        <v>234</v>
      </c>
      <c r="D146" s="9">
        <v>4</v>
      </c>
      <c r="E146" s="9" t="s">
        <v>63</v>
      </c>
      <c r="F146" s="9" t="s">
        <v>196</v>
      </c>
      <c r="G146" s="9" t="s">
        <v>197</v>
      </c>
      <c r="H146" s="10" t="s">
        <v>399</v>
      </c>
      <c r="I146" s="9">
        <v>1</v>
      </c>
      <c r="J146" s="9">
        <v>3</v>
      </c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>
      <c r="A147" s="9">
        <v>2</v>
      </c>
      <c r="B147" s="11">
        <v>43809</v>
      </c>
      <c r="C147" s="9" t="s">
        <v>234</v>
      </c>
      <c r="D147" s="9">
        <v>4</v>
      </c>
      <c r="E147" s="9" t="s">
        <v>81</v>
      </c>
      <c r="F147" s="9" t="s">
        <v>82</v>
      </c>
      <c r="G147" s="9" t="s">
        <v>135</v>
      </c>
      <c r="H147" s="9" t="s">
        <v>136</v>
      </c>
      <c r="I147" s="9">
        <v>3</v>
      </c>
      <c r="J147" s="9">
        <v>4</v>
      </c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>
      <c r="A148" s="9">
        <v>2</v>
      </c>
      <c r="B148" s="11">
        <v>43809</v>
      </c>
      <c r="C148" s="9" t="s">
        <v>234</v>
      </c>
      <c r="D148" s="9">
        <v>4</v>
      </c>
      <c r="E148" s="9" t="s">
        <v>77</v>
      </c>
      <c r="F148" s="9" t="s">
        <v>78</v>
      </c>
      <c r="G148" s="9" t="s">
        <v>79</v>
      </c>
      <c r="H148" s="9" t="s">
        <v>80</v>
      </c>
      <c r="I148" s="9">
        <v>1</v>
      </c>
      <c r="J148" s="9">
        <v>4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>
      <c r="A149" s="9">
        <v>2</v>
      </c>
      <c r="B149" s="11">
        <v>43809</v>
      </c>
      <c r="C149" s="9" t="s">
        <v>234</v>
      </c>
      <c r="D149" s="9">
        <v>4</v>
      </c>
      <c r="E149" s="9" t="s">
        <v>21</v>
      </c>
      <c r="F149" s="9" t="s">
        <v>72</v>
      </c>
      <c r="G149" s="9" t="s">
        <v>73</v>
      </c>
      <c r="H149" s="9" t="s">
        <v>74</v>
      </c>
      <c r="I149" s="9">
        <v>2</v>
      </c>
      <c r="J149" s="9">
        <v>3</v>
      </c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>
      <c r="A150" s="9">
        <v>2</v>
      </c>
      <c r="B150" s="11">
        <v>43809</v>
      </c>
      <c r="C150" s="9" t="s">
        <v>234</v>
      </c>
      <c r="D150" s="9">
        <v>2</v>
      </c>
      <c r="E150" s="9" t="s">
        <v>55</v>
      </c>
      <c r="F150" s="9" t="s">
        <v>164</v>
      </c>
      <c r="G150" s="9" t="s">
        <v>414</v>
      </c>
      <c r="H150" s="9" t="s">
        <v>415</v>
      </c>
      <c r="I150" s="9">
        <v>1</v>
      </c>
      <c r="J150" s="9">
        <v>3</v>
      </c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>
      <c r="A151" s="9">
        <v>2</v>
      </c>
      <c r="B151" s="11">
        <v>43809</v>
      </c>
      <c r="C151" s="9" t="s">
        <v>234</v>
      </c>
      <c r="D151" s="9">
        <v>4</v>
      </c>
      <c r="E151" s="9" t="s">
        <v>342</v>
      </c>
      <c r="F151" s="9" t="s">
        <v>359</v>
      </c>
      <c r="G151" s="9" t="s">
        <v>360</v>
      </c>
      <c r="H151" s="9" t="s">
        <v>416</v>
      </c>
      <c r="I151" s="9">
        <v>1</v>
      </c>
      <c r="J151" s="9">
        <v>3</v>
      </c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>
      <c r="A152" s="9">
        <v>2</v>
      </c>
      <c r="B152" s="11">
        <v>43809</v>
      </c>
      <c r="C152" s="9" t="s">
        <v>234</v>
      </c>
      <c r="D152" s="9">
        <v>4</v>
      </c>
      <c r="E152" s="9" t="s">
        <v>44</v>
      </c>
      <c r="F152" s="9" t="s">
        <v>45</v>
      </c>
      <c r="G152" s="9" t="s">
        <v>218</v>
      </c>
      <c r="H152" s="9" t="s">
        <v>219</v>
      </c>
      <c r="I152" s="9">
        <v>1</v>
      </c>
      <c r="J152" s="9">
        <v>7</v>
      </c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>
      <c r="A153" s="9">
        <v>2</v>
      </c>
      <c r="B153" s="11">
        <v>43809</v>
      </c>
      <c r="C153" s="9" t="s">
        <v>234</v>
      </c>
      <c r="D153" s="9">
        <v>4</v>
      </c>
      <c r="E153" s="9" t="s">
        <v>25</v>
      </c>
      <c r="F153" s="9" t="s">
        <v>48</v>
      </c>
      <c r="G153" s="9" t="s">
        <v>49</v>
      </c>
      <c r="H153" s="9" t="s">
        <v>50</v>
      </c>
      <c r="I153" s="9">
        <v>2</v>
      </c>
      <c r="J153" s="9">
        <v>7</v>
      </c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>
      <c r="A154" s="9">
        <v>2</v>
      </c>
      <c r="B154" s="11">
        <v>43809</v>
      </c>
      <c r="C154" s="9" t="s">
        <v>234</v>
      </c>
      <c r="D154" s="9">
        <v>4</v>
      </c>
      <c r="E154" s="9" t="s">
        <v>25</v>
      </c>
      <c r="F154" s="9" t="s">
        <v>101</v>
      </c>
      <c r="G154" s="9" t="s">
        <v>102</v>
      </c>
      <c r="H154" s="9" t="s">
        <v>103</v>
      </c>
      <c r="I154" s="9">
        <v>1</v>
      </c>
      <c r="J154" s="9">
        <v>5</v>
      </c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>
      <c r="A155" s="9">
        <v>2</v>
      </c>
      <c r="B155" s="11">
        <v>43809</v>
      </c>
      <c r="C155" s="9" t="s">
        <v>234</v>
      </c>
      <c r="D155" s="9">
        <v>1</v>
      </c>
      <c r="E155" s="9" t="s">
        <v>417</v>
      </c>
      <c r="F155" s="9" t="s">
        <v>418</v>
      </c>
      <c r="G155" s="10" t="s">
        <v>419</v>
      </c>
      <c r="H155" s="9" t="s">
        <v>420</v>
      </c>
      <c r="I155" s="9">
        <v>2</v>
      </c>
      <c r="J155" s="9">
        <v>2</v>
      </c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>
      <c r="A156" s="9">
        <v>2</v>
      </c>
      <c r="B156" s="11">
        <v>43809</v>
      </c>
      <c r="C156" s="9" t="s">
        <v>234</v>
      </c>
      <c r="D156" s="9">
        <v>4</v>
      </c>
      <c r="E156" s="9" t="s">
        <v>63</v>
      </c>
      <c r="F156" s="9" t="s">
        <v>167</v>
      </c>
      <c r="G156" s="9" t="s">
        <v>168</v>
      </c>
      <c r="H156" s="9" t="s">
        <v>169</v>
      </c>
      <c r="I156" s="9">
        <v>1</v>
      </c>
      <c r="J156" s="9">
        <v>4</v>
      </c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>
      <c r="A157" s="9">
        <v>2</v>
      </c>
      <c r="B157" s="11">
        <v>43809</v>
      </c>
      <c r="C157" s="9" t="s">
        <v>234</v>
      </c>
      <c r="D157" s="9">
        <v>4</v>
      </c>
      <c r="E157" s="9" t="s">
        <v>21</v>
      </c>
      <c r="F157" s="9" t="s">
        <v>22</v>
      </c>
      <c r="G157" s="9" t="s">
        <v>23</v>
      </c>
      <c r="H157" s="9" t="s">
        <v>24</v>
      </c>
      <c r="I157" s="9">
        <v>3</v>
      </c>
      <c r="J157" s="9">
        <v>5</v>
      </c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>
      <c r="A158" s="9">
        <v>2</v>
      </c>
      <c r="B158" s="11">
        <v>43809</v>
      </c>
      <c r="C158" s="9" t="s">
        <v>234</v>
      </c>
      <c r="D158" s="9">
        <v>1</v>
      </c>
      <c r="E158" s="9" t="s">
        <v>342</v>
      </c>
      <c r="F158" s="9" t="s">
        <v>256</v>
      </c>
      <c r="G158" s="9" t="s">
        <v>421</v>
      </c>
      <c r="H158" s="9" t="s">
        <v>422</v>
      </c>
      <c r="I158" s="9">
        <v>1</v>
      </c>
      <c r="J158" s="9">
        <v>3</v>
      </c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>
      <c r="A159" s="9">
        <v>2</v>
      </c>
      <c r="B159" s="11">
        <v>43809</v>
      </c>
      <c r="C159" s="9" t="s">
        <v>234</v>
      </c>
      <c r="D159" s="9">
        <v>1</v>
      </c>
      <c r="E159" s="9" t="s">
        <v>55</v>
      </c>
      <c r="F159" s="9" t="s">
        <v>423</v>
      </c>
      <c r="G159" s="10" t="s">
        <v>424</v>
      </c>
      <c r="H159" s="9" t="s">
        <v>425</v>
      </c>
      <c r="I159" s="9">
        <v>1</v>
      </c>
      <c r="J159" s="9">
        <v>3</v>
      </c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>
      <c r="A160" s="9">
        <v>2</v>
      </c>
      <c r="B160" s="11">
        <v>43809</v>
      </c>
      <c r="C160" s="9" t="s">
        <v>234</v>
      </c>
      <c r="D160" s="9">
        <v>1</v>
      </c>
      <c r="E160" s="9" t="s">
        <v>25</v>
      </c>
      <c r="F160" s="9" t="s">
        <v>260</v>
      </c>
      <c r="G160" s="9" t="s">
        <v>261</v>
      </c>
      <c r="H160" s="9" t="s">
        <v>426</v>
      </c>
      <c r="I160" s="9">
        <v>1</v>
      </c>
      <c r="J160" s="9">
        <v>1</v>
      </c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>
      <c r="A161" s="9">
        <v>2</v>
      </c>
      <c r="B161" s="11">
        <v>43809</v>
      </c>
      <c r="C161" s="9" t="s">
        <v>234</v>
      </c>
      <c r="D161" s="9">
        <v>4</v>
      </c>
      <c r="E161" s="9" t="s">
        <v>109</v>
      </c>
      <c r="F161" s="9" t="s">
        <v>110</v>
      </c>
      <c r="G161" s="9" t="s">
        <v>111</v>
      </c>
      <c r="H161" s="9" t="s">
        <v>112</v>
      </c>
      <c r="I161" s="9">
        <v>3</v>
      </c>
      <c r="J161" s="9">
        <v>5</v>
      </c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>
      <c r="A162" s="9">
        <v>2</v>
      </c>
      <c r="B162" s="11">
        <v>43809</v>
      </c>
      <c r="C162" s="9" t="s">
        <v>234</v>
      </c>
      <c r="D162" s="9">
        <v>4</v>
      </c>
      <c r="E162" s="9" t="s">
        <v>124</v>
      </c>
      <c r="F162" s="9" t="s">
        <v>125</v>
      </c>
      <c r="G162" s="9" t="s">
        <v>126</v>
      </c>
      <c r="H162" s="9" t="s">
        <v>127</v>
      </c>
      <c r="I162" s="9">
        <v>1</v>
      </c>
      <c r="J162" s="9">
        <v>5</v>
      </c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>
      <c r="A163" s="9">
        <v>2</v>
      </c>
      <c r="B163" s="11">
        <v>43809</v>
      </c>
      <c r="C163" s="9" t="s">
        <v>234</v>
      </c>
      <c r="D163" s="9">
        <v>2</v>
      </c>
      <c r="E163" s="9" t="s">
        <v>84</v>
      </c>
      <c r="F163" s="9" t="s">
        <v>85</v>
      </c>
      <c r="G163" s="9" t="s">
        <v>86</v>
      </c>
      <c r="H163" s="9" t="s">
        <v>87</v>
      </c>
      <c r="I163" s="9">
        <v>1</v>
      </c>
      <c r="J163" s="9">
        <v>2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>
      <c r="A164" s="9">
        <v>2</v>
      </c>
      <c r="B164" s="11">
        <v>43809</v>
      </c>
      <c r="C164" s="9" t="s">
        <v>234</v>
      </c>
      <c r="D164" s="9">
        <v>4</v>
      </c>
      <c r="E164" s="9" t="s">
        <v>77</v>
      </c>
      <c r="F164" s="9" t="s">
        <v>78</v>
      </c>
      <c r="G164" s="9" t="s">
        <v>232</v>
      </c>
      <c r="H164" s="9" t="s">
        <v>233</v>
      </c>
      <c r="I164" s="9">
        <v>1</v>
      </c>
      <c r="J164" s="9">
        <v>4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>
      <c r="A165" s="9">
        <v>2</v>
      </c>
      <c r="B165" s="11">
        <v>43809</v>
      </c>
      <c r="C165" s="9" t="s">
        <v>234</v>
      </c>
      <c r="D165" s="9">
        <v>4</v>
      </c>
      <c r="E165" s="9" t="s">
        <v>67</v>
      </c>
      <c r="F165" s="9" t="s">
        <v>68</v>
      </c>
      <c r="G165" s="9" t="s">
        <v>69</v>
      </c>
      <c r="H165" s="9" t="s">
        <v>70</v>
      </c>
      <c r="I165" s="9">
        <v>1</v>
      </c>
      <c r="J165" s="9">
        <v>9</v>
      </c>
      <c r="K165" s="9" t="s">
        <v>427</v>
      </c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>
      <c r="A166" s="9">
        <v>2</v>
      </c>
      <c r="B166" s="11">
        <v>43809</v>
      </c>
      <c r="C166" s="9" t="s">
        <v>263</v>
      </c>
      <c r="D166" s="9">
        <v>4</v>
      </c>
      <c r="E166" s="9" t="s">
        <v>25</v>
      </c>
      <c r="F166" s="9" t="s">
        <v>33</v>
      </c>
      <c r="G166" s="9" t="s">
        <v>34</v>
      </c>
      <c r="H166" s="9" t="s">
        <v>35</v>
      </c>
      <c r="I166" s="9">
        <v>1</v>
      </c>
      <c r="J166" s="9">
        <v>2</v>
      </c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>
      <c r="A167" s="9">
        <v>2</v>
      </c>
      <c r="B167" s="11">
        <v>43809</v>
      </c>
      <c r="C167" s="9" t="s">
        <v>263</v>
      </c>
      <c r="D167" s="9">
        <v>1</v>
      </c>
      <c r="E167" s="9" t="s">
        <v>75</v>
      </c>
      <c r="F167" s="9" t="s">
        <v>75</v>
      </c>
      <c r="G167" s="9" t="s">
        <v>264</v>
      </c>
      <c r="H167" s="9" t="s">
        <v>75</v>
      </c>
      <c r="I167" s="9">
        <v>1</v>
      </c>
      <c r="J167" s="9">
        <v>1</v>
      </c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>
      <c r="A168" s="9">
        <v>2</v>
      </c>
      <c r="B168" s="11">
        <v>43809</v>
      </c>
      <c r="C168" s="9" t="s">
        <v>263</v>
      </c>
      <c r="D168" s="9">
        <v>4</v>
      </c>
      <c r="E168" s="9" t="s">
        <v>21</v>
      </c>
      <c r="F168" s="9" t="s">
        <v>22</v>
      </c>
      <c r="G168" s="9" t="s">
        <v>23</v>
      </c>
      <c r="H168" s="9" t="s">
        <v>24</v>
      </c>
      <c r="I168" s="12">
        <v>2</v>
      </c>
      <c r="J168" s="9">
        <v>6</v>
      </c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>
      <c r="A169" s="9">
        <v>2</v>
      </c>
      <c r="B169" s="11">
        <v>43809</v>
      </c>
      <c r="C169" s="9" t="s">
        <v>263</v>
      </c>
      <c r="D169" s="9">
        <v>4</v>
      </c>
      <c r="E169" s="9" t="s">
        <v>81</v>
      </c>
      <c r="F169" s="9" t="s">
        <v>82</v>
      </c>
      <c r="G169" s="9" t="s">
        <v>135</v>
      </c>
      <c r="H169" s="9" t="s">
        <v>136</v>
      </c>
      <c r="I169" s="9">
        <v>4</v>
      </c>
      <c r="J169" s="9">
        <v>6</v>
      </c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>
      <c r="A170" s="9">
        <v>2</v>
      </c>
      <c r="B170" s="11">
        <v>43809</v>
      </c>
      <c r="C170" s="9" t="s">
        <v>263</v>
      </c>
      <c r="D170" s="9">
        <v>2</v>
      </c>
      <c r="E170" s="9" t="s">
        <v>84</v>
      </c>
      <c r="F170" s="9" t="s">
        <v>85</v>
      </c>
      <c r="G170" s="9" t="s">
        <v>86</v>
      </c>
      <c r="H170" s="9" t="s">
        <v>87</v>
      </c>
      <c r="I170" s="9">
        <v>5</v>
      </c>
      <c r="J170" s="9">
        <v>5</v>
      </c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>
      <c r="A171" s="9">
        <v>2</v>
      </c>
      <c r="B171" s="11">
        <v>43809</v>
      </c>
      <c r="C171" s="9" t="s">
        <v>263</v>
      </c>
      <c r="D171" s="9">
        <v>2</v>
      </c>
      <c r="E171" s="9" t="s">
        <v>55</v>
      </c>
      <c r="F171" s="9" t="s">
        <v>164</v>
      </c>
      <c r="G171" s="9" t="s">
        <v>428</v>
      </c>
      <c r="H171" s="9" t="s">
        <v>282</v>
      </c>
      <c r="I171" s="9">
        <v>1</v>
      </c>
      <c r="J171" s="9">
        <v>4</v>
      </c>
      <c r="K171" s="9" t="s">
        <v>429</v>
      </c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>
      <c r="A172" s="9">
        <v>2</v>
      </c>
      <c r="B172" s="11">
        <v>43809</v>
      </c>
      <c r="C172" s="9" t="s">
        <v>263</v>
      </c>
      <c r="D172" s="9">
        <v>4</v>
      </c>
      <c r="E172" s="9" t="s">
        <v>160</v>
      </c>
      <c r="F172" s="9" t="s">
        <v>161</v>
      </c>
      <c r="G172" s="9" t="s">
        <v>162</v>
      </c>
      <c r="H172" s="9" t="s">
        <v>163</v>
      </c>
      <c r="I172" s="9">
        <v>1</v>
      </c>
      <c r="J172" s="9">
        <v>3</v>
      </c>
      <c r="K172" s="9" t="s">
        <v>430</v>
      </c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>
      <c r="A173" s="9">
        <v>2</v>
      </c>
      <c r="B173" s="11">
        <v>43809</v>
      </c>
      <c r="C173" s="9" t="s">
        <v>263</v>
      </c>
      <c r="D173" s="9">
        <v>4</v>
      </c>
      <c r="E173" s="9" t="s">
        <v>81</v>
      </c>
      <c r="F173" s="9" t="s">
        <v>82</v>
      </c>
      <c r="G173" s="9" t="s">
        <v>99</v>
      </c>
      <c r="H173" s="9" t="s">
        <v>100</v>
      </c>
      <c r="I173" s="9">
        <v>4</v>
      </c>
      <c r="J173" s="9">
        <v>5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>
      <c r="A174" s="9">
        <v>2</v>
      </c>
      <c r="B174" s="11">
        <v>43809</v>
      </c>
      <c r="C174" s="9" t="s">
        <v>263</v>
      </c>
      <c r="D174" s="9">
        <v>3</v>
      </c>
      <c r="E174" s="9" t="s">
        <v>55</v>
      </c>
      <c r="F174" s="9" t="s">
        <v>431</v>
      </c>
      <c r="G174" s="9" t="s">
        <v>432</v>
      </c>
      <c r="H174" s="9" t="s">
        <v>433</v>
      </c>
      <c r="I174" s="9">
        <v>1</v>
      </c>
      <c r="J174" s="9">
        <v>5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>
      <c r="A175" s="9">
        <v>2</v>
      </c>
      <c r="B175" s="11">
        <v>43809</v>
      </c>
      <c r="C175" s="9" t="s">
        <v>263</v>
      </c>
      <c r="D175" s="9">
        <v>3</v>
      </c>
      <c r="E175" s="9" t="s">
        <v>63</v>
      </c>
      <c r="F175" s="9" t="s">
        <v>128</v>
      </c>
      <c r="G175" s="9" t="s">
        <v>129</v>
      </c>
      <c r="H175" s="9" t="s">
        <v>130</v>
      </c>
      <c r="I175" s="9">
        <v>2</v>
      </c>
      <c r="J175" s="9">
        <v>3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>
      <c r="A176" s="9">
        <v>2</v>
      </c>
      <c r="B176" s="11">
        <v>43809</v>
      </c>
      <c r="C176" s="9" t="s">
        <v>263</v>
      </c>
      <c r="D176" s="9">
        <v>2</v>
      </c>
      <c r="E176" s="9" t="s">
        <v>55</v>
      </c>
      <c r="F176" s="9" t="s">
        <v>215</v>
      </c>
      <c r="G176" s="9" t="s">
        <v>338</v>
      </c>
      <c r="H176" s="9" t="s">
        <v>434</v>
      </c>
      <c r="I176" s="9">
        <v>1</v>
      </c>
      <c r="J176" s="9">
        <v>4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>
      <c r="A177" s="9">
        <v>2</v>
      </c>
      <c r="B177" s="11">
        <v>43809</v>
      </c>
      <c r="C177" s="9" t="s">
        <v>263</v>
      </c>
      <c r="D177" s="9">
        <v>4</v>
      </c>
      <c r="E177" s="9" t="s">
        <v>67</v>
      </c>
      <c r="F177" s="9" t="s">
        <v>68</v>
      </c>
      <c r="G177" s="9" t="s">
        <v>69</v>
      </c>
      <c r="H177" s="9" t="s">
        <v>70</v>
      </c>
      <c r="I177" s="9" t="s">
        <v>435</v>
      </c>
      <c r="J177" s="9">
        <v>7</v>
      </c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>
      <c r="A178" s="9">
        <v>2</v>
      </c>
      <c r="B178" s="11">
        <v>43809</v>
      </c>
      <c r="C178" s="9" t="s">
        <v>263</v>
      </c>
      <c r="D178" s="9">
        <v>4</v>
      </c>
      <c r="E178" s="9" t="s">
        <v>88</v>
      </c>
      <c r="F178" s="9" t="s">
        <v>89</v>
      </c>
      <c r="G178" s="9" t="s">
        <v>90</v>
      </c>
      <c r="H178" s="9" t="s">
        <v>91</v>
      </c>
      <c r="I178" s="9">
        <v>2</v>
      </c>
      <c r="J178" s="9">
        <v>5</v>
      </c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>
      <c r="A179" s="9">
        <v>2</v>
      </c>
      <c r="B179" s="11">
        <v>43809</v>
      </c>
      <c r="C179" s="9" t="s">
        <v>263</v>
      </c>
      <c r="D179" s="9">
        <v>4</v>
      </c>
      <c r="E179" s="9" t="s">
        <v>77</v>
      </c>
      <c r="F179" s="9" t="s">
        <v>78</v>
      </c>
      <c r="G179" s="9" t="s">
        <v>232</v>
      </c>
      <c r="H179" s="9" t="s">
        <v>233</v>
      </c>
      <c r="I179" s="9">
        <v>2</v>
      </c>
      <c r="J179" s="9">
        <v>8</v>
      </c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>
      <c r="A180" s="9">
        <v>2</v>
      </c>
      <c r="B180" s="11">
        <v>43809</v>
      </c>
      <c r="C180" s="9" t="s">
        <v>263</v>
      </c>
      <c r="D180" s="9">
        <v>2</v>
      </c>
      <c r="E180" s="9" t="s">
        <v>55</v>
      </c>
      <c r="F180" s="9" t="s">
        <v>117</v>
      </c>
      <c r="G180" s="9" t="s">
        <v>118</v>
      </c>
      <c r="H180" s="9" t="s">
        <v>119</v>
      </c>
      <c r="I180" s="9">
        <v>1</v>
      </c>
      <c r="J180" s="9">
        <v>4</v>
      </c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>
      <c r="A181" s="9">
        <v>2</v>
      </c>
      <c r="B181" s="11">
        <v>43809</v>
      </c>
      <c r="C181" s="9" t="s">
        <v>263</v>
      </c>
      <c r="D181" s="9">
        <v>4</v>
      </c>
      <c r="E181" s="9" t="s">
        <v>55</v>
      </c>
      <c r="F181" s="9" t="s">
        <v>137</v>
      </c>
      <c r="G181" s="9" t="s">
        <v>138</v>
      </c>
      <c r="H181" s="9" t="s">
        <v>139</v>
      </c>
      <c r="I181" s="9">
        <v>1</v>
      </c>
      <c r="J181" s="9">
        <v>5</v>
      </c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>
      <c r="A182" s="9">
        <v>2</v>
      </c>
      <c r="B182" s="11">
        <v>43809</v>
      </c>
      <c r="C182" s="9" t="s">
        <v>263</v>
      </c>
      <c r="D182" s="9">
        <v>4</v>
      </c>
      <c r="E182" s="9" t="s">
        <v>25</v>
      </c>
      <c r="F182" s="9" t="s">
        <v>48</v>
      </c>
      <c r="G182" s="9" t="s">
        <v>49</v>
      </c>
      <c r="H182" s="9" t="s">
        <v>50</v>
      </c>
      <c r="I182" s="9">
        <v>2</v>
      </c>
      <c r="J182" s="9">
        <v>3</v>
      </c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>
      <c r="A183" s="9">
        <v>2</v>
      </c>
      <c r="B183" s="11">
        <v>43809</v>
      </c>
      <c r="C183" s="9" t="s">
        <v>263</v>
      </c>
      <c r="D183" s="9">
        <v>4</v>
      </c>
      <c r="E183" s="9" t="s">
        <v>21</v>
      </c>
      <c r="F183" s="9" t="s">
        <v>72</v>
      </c>
      <c r="G183" s="9" t="s">
        <v>73</v>
      </c>
      <c r="H183" s="9" t="s">
        <v>74</v>
      </c>
      <c r="I183" s="9">
        <v>1</v>
      </c>
      <c r="J183" s="9">
        <v>5</v>
      </c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>
      <c r="A184" s="9">
        <v>2</v>
      </c>
      <c r="B184" s="11">
        <v>43809</v>
      </c>
      <c r="C184" s="9" t="s">
        <v>263</v>
      </c>
      <c r="D184" s="9">
        <v>4</v>
      </c>
      <c r="E184" s="9" t="s">
        <v>51</v>
      </c>
      <c r="F184" s="9" t="s">
        <v>52</v>
      </c>
      <c r="G184" s="9" t="s">
        <v>53</v>
      </c>
      <c r="H184" s="9" t="s">
        <v>54</v>
      </c>
      <c r="I184" s="9">
        <v>3</v>
      </c>
      <c r="J184" s="9">
        <v>4</v>
      </c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>
      <c r="A185" s="9">
        <v>2</v>
      </c>
      <c r="B185" s="11">
        <v>43809</v>
      </c>
      <c r="C185" s="9" t="s">
        <v>263</v>
      </c>
      <c r="D185" s="9">
        <v>4</v>
      </c>
      <c r="E185" s="9" t="s">
        <v>44</v>
      </c>
      <c r="F185" s="9" t="s">
        <v>45</v>
      </c>
      <c r="G185" s="9" t="s">
        <v>46</v>
      </c>
      <c r="H185" s="9" t="s">
        <v>47</v>
      </c>
      <c r="I185" s="9">
        <v>1</v>
      </c>
      <c r="J185" s="9">
        <v>2</v>
      </c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>
      <c r="A186" s="9">
        <v>2</v>
      </c>
      <c r="B186" s="11">
        <v>43809</v>
      </c>
      <c r="C186" s="9" t="s">
        <v>263</v>
      </c>
      <c r="D186" s="9">
        <v>4</v>
      </c>
      <c r="E186" s="9" t="s">
        <v>25</v>
      </c>
      <c r="F186" s="9" t="s">
        <v>101</v>
      </c>
      <c r="G186" s="9" t="s">
        <v>102</v>
      </c>
      <c r="H186" s="9" t="s">
        <v>103</v>
      </c>
      <c r="I186" s="9">
        <v>1</v>
      </c>
      <c r="J186" s="9">
        <v>3</v>
      </c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>
      <c r="A187" s="9">
        <v>2</v>
      </c>
      <c r="B187" s="11">
        <v>43809</v>
      </c>
      <c r="C187" s="9" t="s">
        <v>263</v>
      </c>
      <c r="D187" s="9">
        <v>4</v>
      </c>
      <c r="E187" s="9" t="s">
        <v>81</v>
      </c>
      <c r="F187" s="9" t="s">
        <v>82</v>
      </c>
      <c r="G187" s="9" t="s">
        <v>409</v>
      </c>
      <c r="H187" s="9" t="s">
        <v>436</v>
      </c>
      <c r="I187" s="9">
        <v>1</v>
      </c>
      <c r="J187" s="9">
        <v>6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>
      <c r="A188" s="9">
        <v>2</v>
      </c>
      <c r="B188" s="11">
        <v>43809</v>
      </c>
      <c r="C188" s="9" t="s">
        <v>263</v>
      </c>
      <c r="D188" s="9">
        <v>4</v>
      </c>
      <c r="E188" s="9" t="s">
        <v>220</v>
      </c>
      <c r="F188" s="9" t="s">
        <v>199</v>
      </c>
      <c r="G188" s="9" t="s">
        <v>200</v>
      </c>
      <c r="H188" s="9" t="s">
        <v>201</v>
      </c>
      <c r="I188" s="9">
        <v>1</v>
      </c>
      <c r="J188" s="9">
        <v>5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>
      <c r="A189" s="9">
        <v>2</v>
      </c>
      <c r="B189" s="11">
        <v>43809</v>
      </c>
      <c r="C189" s="9" t="s">
        <v>263</v>
      </c>
      <c r="D189" s="9">
        <v>4</v>
      </c>
      <c r="E189" s="9" t="s">
        <v>223</v>
      </c>
      <c r="F189" s="9" t="s">
        <v>224</v>
      </c>
      <c r="G189" s="9" t="s">
        <v>225</v>
      </c>
      <c r="H189" s="9" t="s">
        <v>226</v>
      </c>
      <c r="I189" s="9">
        <v>1</v>
      </c>
      <c r="J189" s="9">
        <v>4</v>
      </c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>
      <c r="A190" s="9">
        <v>2</v>
      </c>
      <c r="B190" s="11">
        <v>43809</v>
      </c>
      <c r="C190" s="9" t="s">
        <v>263</v>
      </c>
      <c r="D190" s="9">
        <v>4</v>
      </c>
      <c r="E190" s="9" t="s">
        <v>21</v>
      </c>
      <c r="F190" s="9" t="s">
        <v>72</v>
      </c>
      <c r="G190" s="9" t="s">
        <v>265</v>
      </c>
      <c r="H190" s="9" t="s">
        <v>266</v>
      </c>
      <c r="I190" s="9">
        <v>1</v>
      </c>
      <c r="J190" s="9">
        <v>5</v>
      </c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>
      <c r="A191" s="9">
        <v>2</v>
      </c>
      <c r="B191" s="11">
        <v>43809</v>
      </c>
      <c r="C191" s="9" t="s">
        <v>263</v>
      </c>
      <c r="D191" s="9">
        <v>4</v>
      </c>
      <c r="E191" s="9" t="s">
        <v>109</v>
      </c>
      <c r="F191" s="9" t="s">
        <v>110</v>
      </c>
      <c r="G191" s="9" t="s">
        <v>111</v>
      </c>
      <c r="H191" s="9" t="s">
        <v>112</v>
      </c>
      <c r="I191" s="9">
        <v>1</v>
      </c>
      <c r="J191" s="9">
        <v>3</v>
      </c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>
      <c r="A192" s="9">
        <v>2</v>
      </c>
      <c r="B192" s="11">
        <v>43809</v>
      </c>
      <c r="C192" s="9" t="s">
        <v>263</v>
      </c>
      <c r="D192" s="9">
        <v>4</v>
      </c>
      <c r="E192" s="9" t="s">
        <v>124</v>
      </c>
      <c r="F192" s="9" t="s">
        <v>267</v>
      </c>
      <c r="G192" s="9" t="s">
        <v>268</v>
      </c>
      <c r="H192" s="9" t="s">
        <v>269</v>
      </c>
      <c r="I192" s="9">
        <v>2</v>
      </c>
      <c r="J192" s="9">
        <v>4</v>
      </c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>
      <c r="A193" s="9">
        <v>2</v>
      </c>
      <c r="B193" s="11">
        <v>43809</v>
      </c>
      <c r="C193" s="9" t="s">
        <v>263</v>
      </c>
      <c r="D193" s="9">
        <v>2</v>
      </c>
      <c r="E193" s="9" t="s">
        <v>25</v>
      </c>
      <c r="F193" s="9" t="s">
        <v>26</v>
      </c>
      <c r="G193" s="9" t="s">
        <v>27</v>
      </c>
      <c r="H193" s="9" t="s">
        <v>28</v>
      </c>
      <c r="I193" s="9">
        <v>1</v>
      </c>
      <c r="J193" s="9">
        <v>3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>
      <c r="A194" s="9">
        <v>2</v>
      </c>
      <c r="B194" s="11">
        <v>43809</v>
      </c>
      <c r="C194" s="9" t="s">
        <v>263</v>
      </c>
      <c r="D194" s="9">
        <v>1</v>
      </c>
      <c r="E194" s="9" t="s">
        <v>185</v>
      </c>
      <c r="F194" s="9" t="s">
        <v>437</v>
      </c>
      <c r="G194" s="9" t="s">
        <v>438</v>
      </c>
      <c r="H194" s="9" t="s">
        <v>439</v>
      </c>
      <c r="I194" s="9">
        <v>1</v>
      </c>
      <c r="J194" s="9">
        <v>5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>
      <c r="A195" s="9">
        <v>2</v>
      </c>
      <c r="B195" s="11">
        <v>43809</v>
      </c>
      <c r="C195" s="9" t="s">
        <v>263</v>
      </c>
      <c r="D195" s="9">
        <v>2</v>
      </c>
      <c r="E195" s="9" t="s">
        <v>55</v>
      </c>
      <c r="F195" s="9" t="s">
        <v>211</v>
      </c>
      <c r="G195" s="9" t="s">
        <v>212</v>
      </c>
      <c r="H195" s="9" t="s">
        <v>213</v>
      </c>
      <c r="I195" s="9">
        <v>1</v>
      </c>
      <c r="J195" s="9">
        <v>4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>
      <c r="A196" s="9">
        <v>2</v>
      </c>
      <c r="B196" s="11">
        <v>43809</v>
      </c>
      <c r="C196" s="9" t="s">
        <v>263</v>
      </c>
      <c r="D196" s="9">
        <v>4</v>
      </c>
      <c r="E196" s="9" t="s">
        <v>77</v>
      </c>
      <c r="F196" s="9" t="s">
        <v>78</v>
      </c>
      <c r="G196" s="9" t="s">
        <v>79</v>
      </c>
      <c r="H196" s="9" t="s">
        <v>80</v>
      </c>
      <c r="I196" s="9" t="s">
        <v>440</v>
      </c>
      <c r="J196" s="9">
        <v>9</v>
      </c>
      <c r="K196" s="9" t="s">
        <v>441</v>
      </c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8.75" customHeight="1">
      <c r="A197" s="9">
        <v>2</v>
      </c>
      <c r="B197" s="11">
        <v>43819</v>
      </c>
      <c r="C197" s="9" t="s">
        <v>274</v>
      </c>
      <c r="D197" s="9">
        <v>4</v>
      </c>
      <c r="E197" s="9" t="s">
        <v>21</v>
      </c>
      <c r="F197" s="9" t="s">
        <v>22</v>
      </c>
      <c r="G197" s="9" t="s">
        <v>23</v>
      </c>
      <c r="H197" s="9" t="s">
        <v>24</v>
      </c>
      <c r="I197" s="9">
        <v>5</v>
      </c>
      <c r="J197" s="9">
        <v>7</v>
      </c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>
      <c r="A198" s="9">
        <v>2</v>
      </c>
      <c r="B198" s="11">
        <v>43819</v>
      </c>
      <c r="C198" s="9" t="s">
        <v>274</v>
      </c>
      <c r="D198" s="9">
        <v>4</v>
      </c>
      <c r="E198" s="9" t="s">
        <v>109</v>
      </c>
      <c r="F198" s="9" t="s">
        <v>110</v>
      </c>
      <c r="G198" s="9" t="s">
        <v>111</v>
      </c>
      <c r="H198" s="9" t="s">
        <v>112</v>
      </c>
      <c r="I198" s="9">
        <v>4</v>
      </c>
      <c r="J198" s="9">
        <v>5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>
      <c r="A199" s="9">
        <v>2</v>
      </c>
      <c r="B199" s="11">
        <v>43819</v>
      </c>
      <c r="C199" s="9" t="s">
        <v>274</v>
      </c>
      <c r="D199" s="9">
        <v>4</v>
      </c>
      <c r="E199" s="9" t="s">
        <v>51</v>
      </c>
      <c r="F199" s="9" t="s">
        <v>52</v>
      </c>
      <c r="G199" s="9" t="s">
        <v>53</v>
      </c>
      <c r="H199" s="9" t="s">
        <v>54</v>
      </c>
      <c r="I199" s="9">
        <v>1</v>
      </c>
      <c r="J199" s="9">
        <v>4</v>
      </c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>
      <c r="A200" s="9">
        <v>2</v>
      </c>
      <c r="B200" s="11">
        <v>43819</v>
      </c>
      <c r="C200" s="9" t="s">
        <v>274</v>
      </c>
      <c r="D200" s="9">
        <v>2</v>
      </c>
      <c r="E200" s="9" t="s">
        <v>25</v>
      </c>
      <c r="F200" s="9" t="s">
        <v>356</v>
      </c>
      <c r="G200" s="9" t="s">
        <v>442</v>
      </c>
      <c r="H200" s="9" t="s">
        <v>28</v>
      </c>
      <c r="I200" s="9">
        <v>1</v>
      </c>
      <c r="J200" s="9">
        <v>4</v>
      </c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>
      <c r="A201" s="9">
        <v>2</v>
      </c>
      <c r="B201" s="11">
        <v>43819</v>
      </c>
      <c r="C201" s="9" t="s">
        <v>274</v>
      </c>
      <c r="D201" s="9">
        <v>2</v>
      </c>
      <c r="E201" s="9" t="s">
        <v>220</v>
      </c>
      <c r="F201" s="9" t="s">
        <v>199</v>
      </c>
      <c r="G201" s="9" t="s">
        <v>200</v>
      </c>
      <c r="H201" s="9" t="s">
        <v>201</v>
      </c>
      <c r="I201" s="9">
        <v>2</v>
      </c>
      <c r="J201" s="9">
        <v>3</v>
      </c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>
      <c r="A202" s="9">
        <v>2</v>
      </c>
      <c r="B202" s="11">
        <v>43819</v>
      </c>
      <c r="C202" s="9" t="s">
        <v>274</v>
      </c>
      <c r="D202" s="9">
        <v>4</v>
      </c>
      <c r="E202" s="9" t="s">
        <v>77</v>
      </c>
      <c r="F202" s="9" t="s">
        <v>78</v>
      </c>
      <c r="G202" s="9" t="s">
        <v>370</v>
      </c>
      <c r="H202" s="9" t="s">
        <v>371</v>
      </c>
      <c r="I202" s="9">
        <v>1</v>
      </c>
      <c r="J202" s="9">
        <v>5</v>
      </c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>
      <c r="A203" s="9">
        <v>2</v>
      </c>
      <c r="B203" s="11">
        <v>43819</v>
      </c>
      <c r="C203" s="9" t="s">
        <v>274</v>
      </c>
      <c r="D203" s="9">
        <v>4</v>
      </c>
      <c r="E203" s="9" t="s">
        <v>81</v>
      </c>
      <c r="F203" s="9" t="s">
        <v>82</v>
      </c>
      <c r="G203" s="9" t="s">
        <v>135</v>
      </c>
      <c r="H203" s="9" t="s">
        <v>394</v>
      </c>
      <c r="I203" s="9">
        <v>5</v>
      </c>
      <c r="J203" s="9">
        <v>8</v>
      </c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>
      <c r="A204" s="9">
        <v>2</v>
      </c>
      <c r="B204" s="11">
        <v>43819</v>
      </c>
      <c r="C204" s="9" t="s">
        <v>274</v>
      </c>
      <c r="D204" s="9">
        <v>4</v>
      </c>
      <c r="E204" s="9" t="s">
        <v>25</v>
      </c>
      <c r="F204" s="9" t="s">
        <v>48</v>
      </c>
      <c r="G204" s="9" t="s">
        <v>49</v>
      </c>
      <c r="H204" s="9" t="s">
        <v>50</v>
      </c>
      <c r="I204" s="9">
        <v>2</v>
      </c>
      <c r="J204" s="9">
        <v>6</v>
      </c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>
      <c r="A205" s="9">
        <v>2</v>
      </c>
      <c r="B205" s="11">
        <v>43819</v>
      </c>
      <c r="C205" s="9" t="s">
        <v>274</v>
      </c>
      <c r="D205" s="9">
        <v>2</v>
      </c>
      <c r="E205" s="9" t="s">
        <v>84</v>
      </c>
      <c r="F205" s="9" t="s">
        <v>85</v>
      </c>
      <c r="G205" s="9" t="s">
        <v>86</v>
      </c>
      <c r="H205" s="9" t="s">
        <v>87</v>
      </c>
      <c r="I205" s="9">
        <v>3</v>
      </c>
      <c r="J205" s="9">
        <v>4</v>
      </c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>
      <c r="A206" s="9">
        <v>2</v>
      </c>
      <c r="B206" s="11">
        <v>43819</v>
      </c>
      <c r="C206" s="9" t="s">
        <v>274</v>
      </c>
      <c r="D206" s="9">
        <v>2</v>
      </c>
      <c r="E206" s="9" t="s">
        <v>55</v>
      </c>
      <c r="F206" s="9" t="s">
        <v>117</v>
      </c>
      <c r="G206" s="9" t="s">
        <v>118</v>
      </c>
      <c r="H206" s="9" t="s">
        <v>249</v>
      </c>
      <c r="I206" s="9">
        <v>1</v>
      </c>
      <c r="J206" s="9">
        <v>4</v>
      </c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>
      <c r="A207" s="9">
        <v>2</v>
      </c>
      <c r="B207" s="11">
        <v>43819</v>
      </c>
      <c r="C207" s="9" t="s">
        <v>274</v>
      </c>
      <c r="D207" s="9">
        <v>4</v>
      </c>
      <c r="E207" s="9" t="s">
        <v>21</v>
      </c>
      <c r="F207" s="9" t="s">
        <v>72</v>
      </c>
      <c r="G207" s="9" t="s">
        <v>73</v>
      </c>
      <c r="H207" s="9" t="s">
        <v>74</v>
      </c>
      <c r="I207" s="9">
        <v>2</v>
      </c>
      <c r="J207" s="9">
        <v>4</v>
      </c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>
      <c r="A208" s="9">
        <v>2</v>
      </c>
      <c r="B208" s="11">
        <v>43819</v>
      </c>
      <c r="C208" s="9" t="s">
        <v>274</v>
      </c>
      <c r="D208" s="9">
        <v>4</v>
      </c>
      <c r="E208" s="9" t="s">
        <v>124</v>
      </c>
      <c r="F208" s="9" t="s">
        <v>125</v>
      </c>
      <c r="G208" s="9" t="s">
        <v>126</v>
      </c>
      <c r="H208" s="9" t="s">
        <v>127</v>
      </c>
      <c r="I208" s="9">
        <v>1</v>
      </c>
      <c r="J208" s="9">
        <v>3</v>
      </c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>
      <c r="A209" s="9">
        <v>2</v>
      </c>
      <c r="B209" s="11">
        <v>43819</v>
      </c>
      <c r="C209" s="9" t="s">
        <v>274</v>
      </c>
      <c r="D209" s="9">
        <v>4</v>
      </c>
      <c r="E209" s="9" t="s">
        <v>81</v>
      </c>
      <c r="F209" s="9" t="s">
        <v>82</v>
      </c>
      <c r="G209" s="9" t="s">
        <v>99</v>
      </c>
      <c r="H209" s="9" t="s">
        <v>100</v>
      </c>
      <c r="I209" s="9">
        <v>1</v>
      </c>
      <c r="J209" s="9">
        <v>3</v>
      </c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>
      <c r="A210" s="9">
        <v>2</v>
      </c>
      <c r="B210" s="11">
        <v>43819</v>
      </c>
      <c r="C210" s="9" t="s">
        <v>274</v>
      </c>
      <c r="D210" s="9">
        <v>4</v>
      </c>
      <c r="E210" s="9" t="s">
        <v>67</v>
      </c>
      <c r="F210" s="9" t="s">
        <v>68</v>
      </c>
      <c r="G210" s="9" t="s">
        <v>69</v>
      </c>
      <c r="H210" s="9" t="s">
        <v>70</v>
      </c>
      <c r="I210" s="9" t="s">
        <v>427</v>
      </c>
      <c r="J210" s="9">
        <v>6</v>
      </c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>
      <c r="A211" s="9">
        <v>2</v>
      </c>
      <c r="B211" s="11">
        <v>43819</v>
      </c>
      <c r="C211" s="9" t="s">
        <v>274</v>
      </c>
      <c r="D211" s="9">
        <v>4</v>
      </c>
      <c r="E211" s="9" t="s">
        <v>44</v>
      </c>
      <c r="F211" s="9" t="s">
        <v>45</v>
      </c>
      <c r="G211" s="9" t="s">
        <v>218</v>
      </c>
      <c r="H211" s="9" t="s">
        <v>219</v>
      </c>
      <c r="I211" s="9">
        <v>1</v>
      </c>
      <c r="J211" s="9">
        <v>3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>
      <c r="A212" s="9">
        <v>2</v>
      </c>
      <c r="B212" s="11">
        <v>43819</v>
      </c>
      <c r="C212" s="9" t="s">
        <v>274</v>
      </c>
      <c r="D212" s="9">
        <v>4</v>
      </c>
      <c r="E212" s="9" t="s">
        <v>81</v>
      </c>
      <c r="F212" s="9" t="s">
        <v>82</v>
      </c>
      <c r="G212" s="9" t="s">
        <v>193</v>
      </c>
      <c r="H212" s="9" t="s">
        <v>194</v>
      </c>
      <c r="I212" s="9">
        <v>1</v>
      </c>
      <c r="J212" s="9">
        <v>6</v>
      </c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>
      <c r="A213" s="9">
        <v>2</v>
      </c>
      <c r="B213" s="11">
        <v>43819</v>
      </c>
      <c r="C213" s="9" t="s">
        <v>274</v>
      </c>
      <c r="D213" s="9">
        <v>4</v>
      </c>
      <c r="E213" s="9" t="s">
        <v>25</v>
      </c>
      <c r="F213" s="9" t="s">
        <v>33</v>
      </c>
      <c r="G213" s="9" t="s">
        <v>34</v>
      </c>
      <c r="H213" s="9" t="s">
        <v>35</v>
      </c>
      <c r="I213" s="9">
        <v>1</v>
      </c>
      <c r="J213" s="9">
        <v>5</v>
      </c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>
      <c r="A214" s="9">
        <v>2</v>
      </c>
      <c r="B214" s="11">
        <v>43819</v>
      </c>
      <c r="C214" s="9" t="s">
        <v>274</v>
      </c>
      <c r="D214" s="9">
        <v>4</v>
      </c>
      <c r="E214" s="9" t="s">
        <v>443</v>
      </c>
      <c r="F214" s="9" t="s">
        <v>444</v>
      </c>
      <c r="G214" s="9" t="s">
        <v>445</v>
      </c>
      <c r="H214" s="9" t="s">
        <v>446</v>
      </c>
      <c r="I214" s="9">
        <v>1</v>
      </c>
      <c r="J214" s="9">
        <v>3</v>
      </c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>
      <c r="A215" s="9">
        <v>2</v>
      </c>
      <c r="B215" s="11">
        <v>43819</v>
      </c>
      <c r="C215" s="9" t="s">
        <v>274</v>
      </c>
      <c r="D215" s="9">
        <v>3</v>
      </c>
      <c r="E215" s="9" t="s">
        <v>55</v>
      </c>
      <c r="F215" s="9" t="s">
        <v>211</v>
      </c>
      <c r="G215" s="9" t="s">
        <v>447</v>
      </c>
      <c r="H215" s="9" t="s">
        <v>213</v>
      </c>
      <c r="I215" s="9">
        <v>1</v>
      </c>
      <c r="J215" s="9">
        <v>4</v>
      </c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>
      <c r="A216" s="9">
        <v>2</v>
      </c>
      <c r="B216" s="11">
        <v>43819</v>
      </c>
      <c r="C216" s="9" t="s">
        <v>274</v>
      </c>
      <c r="D216" s="9">
        <v>4</v>
      </c>
      <c r="E216" s="9" t="s">
        <v>67</v>
      </c>
      <c r="F216" s="9" t="s">
        <v>68</v>
      </c>
      <c r="G216" s="9" t="s">
        <v>230</v>
      </c>
      <c r="H216" s="9" t="s">
        <v>384</v>
      </c>
      <c r="I216" s="9">
        <v>0</v>
      </c>
      <c r="J216" s="9">
        <v>6</v>
      </c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>
      <c r="A217" s="9">
        <v>2</v>
      </c>
      <c r="B217" s="11">
        <v>43819</v>
      </c>
      <c r="C217" s="9" t="s">
        <v>274</v>
      </c>
      <c r="D217" s="9">
        <v>4</v>
      </c>
      <c r="E217" s="9" t="s">
        <v>77</v>
      </c>
      <c r="F217" s="9" t="s">
        <v>78</v>
      </c>
      <c r="G217" s="9" t="s">
        <v>278</v>
      </c>
      <c r="H217" s="9" t="s">
        <v>279</v>
      </c>
      <c r="I217" s="9">
        <v>0</v>
      </c>
      <c r="J217" s="9">
        <v>5</v>
      </c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>
      <c r="A218" s="9">
        <v>2</v>
      </c>
      <c r="B218" s="11">
        <v>43819</v>
      </c>
      <c r="C218" s="9" t="s">
        <v>274</v>
      </c>
      <c r="D218" s="9">
        <v>4</v>
      </c>
      <c r="E218" s="9" t="s">
        <v>77</v>
      </c>
      <c r="F218" s="9" t="s">
        <v>78</v>
      </c>
      <c r="G218" s="9" t="s">
        <v>79</v>
      </c>
      <c r="H218" s="9" t="s">
        <v>80</v>
      </c>
      <c r="I218" s="9" t="s">
        <v>435</v>
      </c>
      <c r="J218" s="9">
        <v>9</v>
      </c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>
      <c r="A219" s="9">
        <v>2</v>
      </c>
      <c r="B219" s="11">
        <v>43816</v>
      </c>
      <c r="C219" s="9" t="s">
        <v>280</v>
      </c>
      <c r="D219" s="9">
        <v>4</v>
      </c>
      <c r="E219" s="9" t="s">
        <v>81</v>
      </c>
      <c r="F219" s="9" t="s">
        <v>82</v>
      </c>
      <c r="G219" s="9" t="s">
        <v>135</v>
      </c>
      <c r="H219" s="9" t="s">
        <v>136</v>
      </c>
      <c r="I219" s="9">
        <v>3</v>
      </c>
      <c r="J219" s="9">
        <v>9</v>
      </c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>
      <c r="A220" s="9">
        <v>2</v>
      </c>
      <c r="B220" s="11">
        <v>43816</v>
      </c>
      <c r="C220" s="9" t="s">
        <v>280</v>
      </c>
      <c r="D220" s="9">
        <v>4</v>
      </c>
      <c r="E220" s="9" t="s">
        <v>55</v>
      </c>
      <c r="F220" s="9" t="s">
        <v>164</v>
      </c>
      <c r="G220" s="9" t="s">
        <v>281</v>
      </c>
      <c r="H220" s="9" t="s">
        <v>282</v>
      </c>
      <c r="I220" s="9">
        <v>4</v>
      </c>
      <c r="J220" s="9">
        <v>6</v>
      </c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>
      <c r="A221" s="9">
        <v>2</v>
      </c>
      <c r="B221" s="11">
        <v>43816</v>
      </c>
      <c r="C221" s="9" t="s">
        <v>280</v>
      </c>
      <c r="D221" s="9">
        <v>2</v>
      </c>
      <c r="E221" s="9" t="s">
        <v>55</v>
      </c>
      <c r="F221" s="9" t="s">
        <v>117</v>
      </c>
      <c r="G221" s="9" t="s">
        <v>118</v>
      </c>
      <c r="H221" s="9" t="s">
        <v>119</v>
      </c>
      <c r="I221" s="9">
        <v>4</v>
      </c>
      <c r="J221" s="9">
        <v>4</v>
      </c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>
      <c r="A222" s="9">
        <v>2</v>
      </c>
      <c r="B222" s="11">
        <v>43816</v>
      </c>
      <c r="C222" s="9" t="s">
        <v>280</v>
      </c>
      <c r="D222" s="9">
        <v>2</v>
      </c>
      <c r="E222" s="9" t="s">
        <v>55</v>
      </c>
      <c r="F222" s="9" t="s">
        <v>211</v>
      </c>
      <c r="G222" s="9" t="s">
        <v>212</v>
      </c>
      <c r="H222" s="9" t="s">
        <v>213</v>
      </c>
      <c r="I222" s="9">
        <v>1</v>
      </c>
      <c r="J222" s="9">
        <v>4</v>
      </c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>
      <c r="A223" s="9">
        <v>2</v>
      </c>
      <c r="B223" s="11">
        <v>43816</v>
      </c>
      <c r="C223" s="9" t="s">
        <v>280</v>
      </c>
      <c r="D223" s="9">
        <v>4</v>
      </c>
      <c r="E223" s="9" t="s">
        <v>109</v>
      </c>
      <c r="F223" s="9" t="s">
        <v>110</v>
      </c>
      <c r="G223" s="9" t="s">
        <v>111</v>
      </c>
      <c r="H223" s="9" t="s">
        <v>112</v>
      </c>
      <c r="I223" s="9">
        <v>5</v>
      </c>
      <c r="J223" s="9">
        <v>5</v>
      </c>
      <c r="K223" s="9" t="s">
        <v>448</v>
      </c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>
      <c r="A224" s="9">
        <v>2</v>
      </c>
      <c r="B224" s="11">
        <v>43816</v>
      </c>
      <c r="C224" s="9" t="s">
        <v>280</v>
      </c>
      <c r="D224" s="9">
        <v>4</v>
      </c>
      <c r="E224" s="9" t="s">
        <v>77</v>
      </c>
      <c r="F224" s="9" t="s">
        <v>78</v>
      </c>
      <c r="G224" s="9" t="s">
        <v>232</v>
      </c>
      <c r="H224" s="9" t="s">
        <v>233</v>
      </c>
      <c r="I224" s="9">
        <v>3</v>
      </c>
      <c r="J224" s="9">
        <v>6</v>
      </c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>
      <c r="A225" s="9">
        <v>2</v>
      </c>
      <c r="B225" s="11">
        <v>43816</v>
      </c>
      <c r="C225" s="9" t="s">
        <v>280</v>
      </c>
      <c r="D225" s="9">
        <v>2</v>
      </c>
      <c r="E225" s="9" t="s">
        <v>25</v>
      </c>
      <c r="F225" s="9" t="s">
        <v>26</v>
      </c>
      <c r="G225" s="9" t="s">
        <v>27</v>
      </c>
      <c r="H225" s="9" t="s">
        <v>28</v>
      </c>
      <c r="I225" s="9">
        <v>1</v>
      </c>
      <c r="J225" s="9">
        <v>4</v>
      </c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>
      <c r="A226" s="9">
        <v>2</v>
      </c>
      <c r="B226" s="11">
        <v>43816</v>
      </c>
      <c r="C226" s="9" t="s">
        <v>280</v>
      </c>
      <c r="D226" s="9">
        <v>4</v>
      </c>
      <c r="E226" s="9" t="s">
        <v>449</v>
      </c>
      <c r="F226" s="9" t="s">
        <v>41</v>
      </c>
      <c r="G226" s="9" t="s">
        <v>42</v>
      </c>
      <c r="H226" s="10" t="s">
        <v>450</v>
      </c>
      <c r="I226" s="9">
        <v>4</v>
      </c>
      <c r="J226" s="9">
        <v>3</v>
      </c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>
      <c r="A227" s="9">
        <v>2</v>
      </c>
      <c r="B227" s="11">
        <v>43816</v>
      </c>
      <c r="C227" s="9" t="s">
        <v>280</v>
      </c>
      <c r="D227" s="9">
        <v>2</v>
      </c>
      <c r="E227" s="9" t="s">
        <v>84</v>
      </c>
      <c r="F227" s="9" t="s">
        <v>85</v>
      </c>
      <c r="G227" s="9" t="s">
        <v>86</v>
      </c>
      <c r="H227" s="9" t="s">
        <v>87</v>
      </c>
      <c r="I227" s="9">
        <v>1</v>
      </c>
      <c r="J227" s="9">
        <v>4</v>
      </c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>
      <c r="A228" s="9">
        <v>2</v>
      </c>
      <c r="B228" s="11">
        <v>43816</v>
      </c>
      <c r="C228" s="9" t="s">
        <v>280</v>
      </c>
      <c r="D228" s="9">
        <v>4</v>
      </c>
      <c r="E228" s="9" t="s">
        <v>25</v>
      </c>
      <c r="F228" s="9" t="s">
        <v>48</v>
      </c>
      <c r="G228" s="9" t="s">
        <v>49</v>
      </c>
      <c r="H228" s="9" t="s">
        <v>50</v>
      </c>
      <c r="I228" s="9">
        <v>3</v>
      </c>
      <c r="J228" s="9">
        <v>8</v>
      </c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>
      <c r="A229" s="9">
        <v>2</v>
      </c>
      <c r="B229" s="11">
        <v>43816</v>
      </c>
      <c r="C229" s="9" t="s">
        <v>280</v>
      </c>
      <c r="D229" s="9">
        <v>4</v>
      </c>
      <c r="E229" s="9" t="s">
        <v>55</v>
      </c>
      <c r="F229" s="9" t="s">
        <v>56</v>
      </c>
      <c r="G229" s="9" t="s">
        <v>57</v>
      </c>
      <c r="H229" s="9" t="s">
        <v>58</v>
      </c>
      <c r="I229" s="9">
        <v>1</v>
      </c>
      <c r="J229" s="9">
        <v>1</v>
      </c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>
      <c r="A230" s="9">
        <v>2</v>
      </c>
      <c r="B230" s="11">
        <v>43816</v>
      </c>
      <c r="C230" s="9" t="s">
        <v>280</v>
      </c>
      <c r="D230" s="9">
        <v>4</v>
      </c>
      <c r="E230" s="9" t="s">
        <v>81</v>
      </c>
      <c r="F230" s="9" t="s">
        <v>82</v>
      </c>
      <c r="G230" s="9" t="s">
        <v>99</v>
      </c>
      <c r="H230" s="9" t="s">
        <v>100</v>
      </c>
      <c r="I230" s="9">
        <v>1</v>
      </c>
      <c r="J230" s="12">
        <v>7</v>
      </c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>
      <c r="A231" s="9">
        <v>2</v>
      </c>
      <c r="B231" s="11">
        <v>43816</v>
      </c>
      <c r="C231" s="9" t="s">
        <v>280</v>
      </c>
      <c r="D231" s="9">
        <v>4</v>
      </c>
      <c r="E231" s="9" t="s">
        <v>25</v>
      </c>
      <c r="F231" s="9" t="s">
        <v>101</v>
      </c>
      <c r="G231" s="9" t="s">
        <v>102</v>
      </c>
      <c r="H231" s="9" t="s">
        <v>103</v>
      </c>
      <c r="I231" s="9">
        <v>2</v>
      </c>
      <c r="J231" s="9">
        <v>4</v>
      </c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>
      <c r="A232" s="9">
        <v>2</v>
      </c>
      <c r="B232" s="11">
        <v>43816</v>
      </c>
      <c r="C232" s="9" t="s">
        <v>280</v>
      </c>
      <c r="D232" s="9">
        <v>4</v>
      </c>
      <c r="E232" s="9" t="s">
        <v>21</v>
      </c>
      <c r="F232" s="9" t="s">
        <v>22</v>
      </c>
      <c r="G232" s="9" t="s">
        <v>23</v>
      </c>
      <c r="H232" s="9" t="s">
        <v>24</v>
      </c>
      <c r="I232" s="9">
        <v>2</v>
      </c>
      <c r="J232" s="9">
        <v>6</v>
      </c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>
      <c r="A233" s="9">
        <v>2</v>
      </c>
      <c r="B233" s="11">
        <v>43816</v>
      </c>
      <c r="C233" s="9" t="s">
        <v>280</v>
      </c>
      <c r="D233" s="9">
        <v>4</v>
      </c>
      <c r="E233" s="9" t="s">
        <v>44</v>
      </c>
      <c r="F233" s="9" t="s">
        <v>45</v>
      </c>
      <c r="G233" s="9" t="s">
        <v>218</v>
      </c>
      <c r="H233" s="9" t="s">
        <v>219</v>
      </c>
      <c r="I233" s="9">
        <v>1</v>
      </c>
      <c r="J233" s="9">
        <v>3</v>
      </c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>
      <c r="A234" s="9">
        <v>2</v>
      </c>
      <c r="B234" s="11">
        <v>43816</v>
      </c>
      <c r="C234" s="9" t="s">
        <v>280</v>
      </c>
      <c r="D234" s="9">
        <v>4</v>
      </c>
      <c r="E234" s="9" t="s">
        <v>77</v>
      </c>
      <c r="F234" s="9" t="s">
        <v>78</v>
      </c>
      <c r="G234" s="10" t="s">
        <v>79</v>
      </c>
      <c r="H234" s="10" t="s">
        <v>80</v>
      </c>
      <c r="I234" s="9">
        <v>2</v>
      </c>
      <c r="J234" s="9">
        <v>6</v>
      </c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>
      <c r="A235" s="9">
        <v>2</v>
      </c>
      <c r="B235" s="11">
        <v>43816</v>
      </c>
      <c r="C235" s="9" t="s">
        <v>280</v>
      </c>
      <c r="D235" s="9">
        <v>4</v>
      </c>
      <c r="E235" s="9" t="s">
        <v>451</v>
      </c>
      <c r="F235" s="9" t="s">
        <v>37</v>
      </c>
      <c r="G235" s="10" t="s">
        <v>452</v>
      </c>
      <c r="H235" s="10" t="s">
        <v>453</v>
      </c>
      <c r="I235" s="9">
        <v>1</v>
      </c>
      <c r="J235" s="9">
        <v>3</v>
      </c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>
      <c r="A236" s="9">
        <v>2</v>
      </c>
      <c r="B236" s="11">
        <v>43816</v>
      </c>
      <c r="C236" s="9" t="s">
        <v>280</v>
      </c>
      <c r="D236" s="9">
        <v>4</v>
      </c>
      <c r="E236" s="9" t="s">
        <v>55</v>
      </c>
      <c r="F236" s="9" t="s">
        <v>423</v>
      </c>
      <c r="G236" s="10" t="s">
        <v>454</v>
      </c>
      <c r="H236" s="10" t="s">
        <v>455</v>
      </c>
      <c r="I236" s="9">
        <v>2</v>
      </c>
      <c r="J236" s="9">
        <v>4</v>
      </c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>
      <c r="A237" s="9">
        <v>2</v>
      </c>
      <c r="B237" s="11">
        <v>43816</v>
      </c>
      <c r="C237" s="9" t="s">
        <v>280</v>
      </c>
      <c r="D237" s="9">
        <v>4</v>
      </c>
      <c r="E237" s="9" t="s">
        <v>51</v>
      </c>
      <c r="F237" s="9" t="s">
        <v>52</v>
      </c>
      <c r="G237" s="9" t="s">
        <v>53</v>
      </c>
      <c r="H237" s="9" t="s">
        <v>456</v>
      </c>
      <c r="I237" s="9">
        <v>1</v>
      </c>
      <c r="J237" s="9">
        <v>1</v>
      </c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>
      <c r="A238" s="9">
        <v>2</v>
      </c>
      <c r="B238" s="11">
        <v>43816</v>
      </c>
      <c r="C238" s="9" t="s">
        <v>280</v>
      </c>
      <c r="D238" s="9">
        <v>4</v>
      </c>
      <c r="E238" s="9" t="s">
        <v>25</v>
      </c>
      <c r="F238" s="9" t="s">
        <v>33</v>
      </c>
      <c r="G238" s="9" t="s">
        <v>34</v>
      </c>
      <c r="H238" s="9" t="s">
        <v>35</v>
      </c>
      <c r="I238" s="9">
        <v>1</v>
      </c>
      <c r="J238" s="9">
        <v>3</v>
      </c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>
      <c r="A239" s="9">
        <v>2</v>
      </c>
      <c r="B239" s="11">
        <v>43816</v>
      </c>
      <c r="C239" s="9" t="s">
        <v>280</v>
      </c>
      <c r="D239" s="9">
        <v>4</v>
      </c>
      <c r="E239" s="9" t="s">
        <v>220</v>
      </c>
      <c r="F239" s="9" t="s">
        <v>199</v>
      </c>
      <c r="G239" s="9" t="s">
        <v>200</v>
      </c>
      <c r="H239" s="9" t="s">
        <v>201</v>
      </c>
      <c r="I239" s="9">
        <v>1</v>
      </c>
      <c r="J239" s="9">
        <v>2</v>
      </c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>
      <c r="A240" s="9">
        <v>2</v>
      </c>
      <c r="B240" s="11">
        <v>43816</v>
      </c>
      <c r="C240" s="9" t="s">
        <v>280</v>
      </c>
      <c r="D240" s="9">
        <v>4</v>
      </c>
      <c r="E240" s="9" t="s">
        <v>63</v>
      </c>
      <c r="F240" s="9" t="s">
        <v>196</v>
      </c>
      <c r="G240" s="9" t="s">
        <v>197</v>
      </c>
      <c r="H240" s="9" t="s">
        <v>198</v>
      </c>
      <c r="I240" s="9">
        <v>1</v>
      </c>
      <c r="J240" s="9">
        <v>1</v>
      </c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>
      <c r="A241" s="9">
        <v>2</v>
      </c>
      <c r="B241" s="11">
        <v>43816</v>
      </c>
      <c r="C241" s="9" t="s">
        <v>280</v>
      </c>
      <c r="D241" s="9">
        <v>4</v>
      </c>
      <c r="E241" s="9" t="s">
        <v>25</v>
      </c>
      <c r="F241" s="9" t="s">
        <v>288</v>
      </c>
      <c r="G241" s="9" t="s">
        <v>289</v>
      </c>
      <c r="H241" s="9" t="s">
        <v>290</v>
      </c>
      <c r="I241" s="9">
        <v>2</v>
      </c>
      <c r="J241" s="9">
        <v>3</v>
      </c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>
      <c r="A242" s="9">
        <v>2</v>
      </c>
      <c r="B242" s="11">
        <v>43816</v>
      </c>
      <c r="C242" s="9" t="s">
        <v>280</v>
      </c>
      <c r="D242" s="9">
        <v>3</v>
      </c>
      <c r="E242" s="9" t="s">
        <v>153</v>
      </c>
      <c r="F242" s="9" t="s">
        <v>154</v>
      </c>
      <c r="G242" s="9" t="s">
        <v>155</v>
      </c>
      <c r="H242" s="9" t="s">
        <v>156</v>
      </c>
      <c r="I242" s="9">
        <v>1</v>
      </c>
      <c r="J242" s="9">
        <v>2</v>
      </c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>
      <c r="A243" s="9">
        <v>2</v>
      </c>
      <c r="B243" s="11">
        <v>43816</v>
      </c>
      <c r="C243" s="9" t="s">
        <v>280</v>
      </c>
      <c r="D243" s="9">
        <v>4</v>
      </c>
      <c r="E243" s="9" t="s">
        <v>124</v>
      </c>
      <c r="F243" s="9" t="s">
        <v>125</v>
      </c>
      <c r="G243" s="9" t="s">
        <v>126</v>
      </c>
      <c r="H243" s="9" t="s">
        <v>127</v>
      </c>
      <c r="I243" s="9">
        <v>1</v>
      </c>
      <c r="J243" s="9">
        <v>3</v>
      </c>
      <c r="K243" s="9" t="s">
        <v>427</v>
      </c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>
      <c r="A244" s="9">
        <v>2</v>
      </c>
      <c r="B244" s="11">
        <v>43816</v>
      </c>
      <c r="C244" s="9" t="s">
        <v>280</v>
      </c>
      <c r="D244" s="9">
        <v>3</v>
      </c>
      <c r="E244" s="9" t="s">
        <v>145</v>
      </c>
      <c r="F244" s="9" t="s">
        <v>294</v>
      </c>
      <c r="G244" s="9" t="s">
        <v>295</v>
      </c>
      <c r="H244" s="9" t="s">
        <v>296</v>
      </c>
      <c r="I244" s="9">
        <v>4</v>
      </c>
      <c r="J244" s="9">
        <v>2</v>
      </c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>
      <c r="A245" s="9">
        <v>2</v>
      </c>
      <c r="B245" s="11">
        <v>43816</v>
      </c>
      <c r="C245" s="9" t="s">
        <v>280</v>
      </c>
      <c r="D245" s="9">
        <v>4</v>
      </c>
      <c r="E245" s="9" t="s">
        <v>160</v>
      </c>
      <c r="F245" s="9" t="s">
        <v>161</v>
      </c>
      <c r="G245" s="9" t="s">
        <v>162</v>
      </c>
      <c r="H245" s="9" t="s">
        <v>163</v>
      </c>
      <c r="I245" s="9">
        <v>0</v>
      </c>
      <c r="J245" s="9">
        <v>5</v>
      </c>
      <c r="K245" s="9" t="s">
        <v>427</v>
      </c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>
      <c r="A246" s="9">
        <v>1</v>
      </c>
      <c r="B246" s="11">
        <v>43816</v>
      </c>
      <c r="C246" s="9" t="s">
        <v>300</v>
      </c>
      <c r="D246" s="9">
        <v>4</v>
      </c>
      <c r="E246" s="9" t="s">
        <v>40</v>
      </c>
      <c r="F246" s="9" t="s">
        <v>41</v>
      </c>
      <c r="G246" s="9" t="s">
        <v>42</v>
      </c>
      <c r="H246" s="9" t="s">
        <v>43</v>
      </c>
      <c r="I246" s="9">
        <v>5</v>
      </c>
      <c r="J246" s="9">
        <v>8</v>
      </c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>
      <c r="A247" s="9">
        <v>1</v>
      </c>
      <c r="B247" s="11">
        <v>43816</v>
      </c>
      <c r="C247" s="9" t="s">
        <v>300</v>
      </c>
      <c r="D247" s="9">
        <v>4</v>
      </c>
      <c r="E247" s="9" t="s">
        <v>21</v>
      </c>
      <c r="F247" s="9" t="s">
        <v>22</v>
      </c>
      <c r="G247" s="9" t="s">
        <v>23</v>
      </c>
      <c r="H247" s="9" t="s">
        <v>24</v>
      </c>
      <c r="I247" s="9">
        <v>4</v>
      </c>
      <c r="J247" s="9">
        <v>7</v>
      </c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>
      <c r="A248" s="9">
        <v>1</v>
      </c>
      <c r="B248" s="11">
        <v>43816</v>
      </c>
      <c r="C248" s="9" t="s">
        <v>300</v>
      </c>
      <c r="D248" s="9">
        <v>2</v>
      </c>
      <c r="E248" s="9" t="s">
        <v>25</v>
      </c>
      <c r="F248" s="9" t="s">
        <v>26</v>
      </c>
      <c r="G248" s="9" t="s">
        <v>27</v>
      </c>
      <c r="H248" s="9" t="s">
        <v>28</v>
      </c>
      <c r="I248" s="9">
        <v>4</v>
      </c>
      <c r="J248" s="9">
        <v>6</v>
      </c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>
      <c r="A249" s="9">
        <v>1</v>
      </c>
      <c r="B249" s="11">
        <v>43816</v>
      </c>
      <c r="C249" s="9" t="s">
        <v>300</v>
      </c>
      <c r="D249" s="9">
        <v>1</v>
      </c>
      <c r="E249" s="9" t="s">
        <v>75</v>
      </c>
      <c r="F249" s="9" t="s">
        <v>75</v>
      </c>
      <c r="G249" s="9" t="s">
        <v>301</v>
      </c>
      <c r="H249" s="9" t="s">
        <v>75</v>
      </c>
      <c r="I249" s="9">
        <v>4</v>
      </c>
      <c r="J249" s="9">
        <v>5</v>
      </c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>
      <c r="A250" s="9">
        <v>1</v>
      </c>
      <c r="B250" s="11">
        <v>43816</v>
      </c>
      <c r="C250" s="9" t="s">
        <v>300</v>
      </c>
      <c r="D250" s="9">
        <v>4</v>
      </c>
      <c r="E250" s="9" t="s">
        <v>44</v>
      </c>
      <c r="F250" s="9" t="s">
        <v>45</v>
      </c>
      <c r="G250" s="9" t="s">
        <v>218</v>
      </c>
      <c r="H250" s="9" t="s">
        <v>219</v>
      </c>
      <c r="I250" s="9">
        <v>3</v>
      </c>
      <c r="J250" s="9">
        <v>6</v>
      </c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>
      <c r="A251" s="9">
        <v>1</v>
      </c>
      <c r="B251" s="11">
        <v>43816</v>
      </c>
      <c r="C251" s="9" t="s">
        <v>300</v>
      </c>
      <c r="D251" s="9">
        <v>4</v>
      </c>
      <c r="E251" s="9" t="s">
        <v>302</v>
      </c>
      <c r="F251" s="9" t="s">
        <v>303</v>
      </c>
      <c r="G251" s="9" t="s">
        <v>304</v>
      </c>
      <c r="H251" s="9" t="s">
        <v>305</v>
      </c>
      <c r="I251" s="9">
        <v>2</v>
      </c>
      <c r="J251" s="9">
        <v>5</v>
      </c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>
      <c r="A252" s="9">
        <v>1</v>
      </c>
      <c r="B252" s="11">
        <v>43816</v>
      </c>
      <c r="C252" s="9" t="s">
        <v>300</v>
      </c>
      <c r="D252" s="9">
        <v>4</v>
      </c>
      <c r="E252" s="9" t="s">
        <v>21</v>
      </c>
      <c r="F252" s="9" t="s">
        <v>72</v>
      </c>
      <c r="G252" s="9" t="s">
        <v>73</v>
      </c>
      <c r="H252" s="9" t="s">
        <v>74</v>
      </c>
      <c r="I252" s="9">
        <v>2</v>
      </c>
      <c r="J252" s="9">
        <v>5</v>
      </c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>
      <c r="A253" s="9">
        <v>1</v>
      </c>
      <c r="B253" s="11">
        <v>43816</v>
      </c>
      <c r="C253" s="9" t="s">
        <v>300</v>
      </c>
      <c r="D253" s="9">
        <v>4</v>
      </c>
      <c r="E253" s="9" t="s">
        <v>306</v>
      </c>
      <c r="F253" s="9" t="s">
        <v>307</v>
      </c>
      <c r="G253" s="9" t="s">
        <v>308</v>
      </c>
      <c r="H253" s="9" t="s">
        <v>309</v>
      </c>
      <c r="I253" s="9">
        <v>2</v>
      </c>
      <c r="J253" s="9">
        <v>3</v>
      </c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>
      <c r="A254" s="9">
        <v>1</v>
      </c>
      <c r="B254" s="11">
        <v>43816</v>
      </c>
      <c r="C254" s="9" t="s">
        <v>300</v>
      </c>
      <c r="D254" s="9">
        <v>4</v>
      </c>
      <c r="E254" s="9" t="s">
        <v>25</v>
      </c>
      <c r="F254" s="9" t="s">
        <v>48</v>
      </c>
      <c r="G254" s="9" t="s">
        <v>49</v>
      </c>
      <c r="H254" s="9" t="s">
        <v>50</v>
      </c>
      <c r="I254" s="9">
        <v>1</v>
      </c>
      <c r="J254" s="9">
        <v>4</v>
      </c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>
      <c r="A255" s="9">
        <v>1</v>
      </c>
      <c r="B255" s="11">
        <v>43816</v>
      </c>
      <c r="C255" s="9" t="s">
        <v>300</v>
      </c>
      <c r="D255" s="9">
        <v>2</v>
      </c>
      <c r="E255" s="9" t="s">
        <v>25</v>
      </c>
      <c r="F255" s="9" t="s">
        <v>310</v>
      </c>
      <c r="G255" s="9" t="s">
        <v>311</v>
      </c>
      <c r="H255" s="9" t="s">
        <v>312</v>
      </c>
      <c r="I255" s="9">
        <v>1</v>
      </c>
      <c r="J255" s="9">
        <v>4</v>
      </c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>
      <c r="A256" s="9">
        <v>1</v>
      </c>
      <c r="B256" s="11">
        <v>43816</v>
      </c>
      <c r="C256" s="9" t="s">
        <v>300</v>
      </c>
      <c r="D256" s="9">
        <v>2</v>
      </c>
      <c r="E256" s="9" t="s">
        <v>84</v>
      </c>
      <c r="F256" s="9" t="s">
        <v>85</v>
      </c>
      <c r="G256" s="9" t="s">
        <v>86</v>
      </c>
      <c r="H256" s="9" t="s">
        <v>87</v>
      </c>
      <c r="I256" s="9">
        <v>1</v>
      </c>
      <c r="J256" s="9">
        <v>2</v>
      </c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>
      <c r="A257" s="9">
        <v>1</v>
      </c>
      <c r="B257" s="11">
        <v>43816</v>
      </c>
      <c r="C257" s="9" t="s">
        <v>300</v>
      </c>
      <c r="D257" s="9">
        <v>2</v>
      </c>
      <c r="E257" s="9" t="s">
        <v>63</v>
      </c>
      <c r="F257" s="9" t="s">
        <v>227</v>
      </c>
      <c r="G257" s="9" t="s">
        <v>228</v>
      </c>
      <c r="H257" s="9" t="s">
        <v>229</v>
      </c>
      <c r="I257" s="9">
        <v>1</v>
      </c>
      <c r="J257" s="9">
        <v>2</v>
      </c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>
      <c r="A258" s="9">
        <v>1</v>
      </c>
      <c r="B258" s="11">
        <v>43816</v>
      </c>
      <c r="C258" s="9" t="s">
        <v>300</v>
      </c>
      <c r="D258" s="9">
        <v>4</v>
      </c>
      <c r="E258" s="9" t="s">
        <v>77</v>
      </c>
      <c r="F258" s="9" t="s">
        <v>78</v>
      </c>
      <c r="G258" s="9" t="s">
        <v>79</v>
      </c>
      <c r="H258" s="9" t="s">
        <v>80</v>
      </c>
      <c r="I258" s="9">
        <v>1</v>
      </c>
      <c r="J258" s="9">
        <v>1</v>
      </c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>
      <c r="A259" s="9">
        <v>1</v>
      </c>
      <c r="B259" s="11">
        <v>43816</v>
      </c>
      <c r="C259" s="9" t="s">
        <v>20</v>
      </c>
      <c r="D259" s="9">
        <v>4</v>
      </c>
      <c r="E259" s="9" t="s">
        <v>21</v>
      </c>
      <c r="F259" s="9" t="s">
        <v>22</v>
      </c>
      <c r="G259" s="9" t="s">
        <v>23</v>
      </c>
      <c r="H259" s="9" t="s">
        <v>24</v>
      </c>
      <c r="I259" s="9">
        <v>5</v>
      </c>
      <c r="J259" s="9">
        <v>8</v>
      </c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>
      <c r="A260" s="9">
        <v>1</v>
      </c>
      <c r="B260" s="11">
        <v>43816</v>
      </c>
      <c r="C260" s="9" t="s">
        <v>20</v>
      </c>
      <c r="D260" s="9">
        <v>2</v>
      </c>
      <c r="E260" s="9" t="s">
        <v>25</v>
      </c>
      <c r="F260" s="9" t="s">
        <v>26</v>
      </c>
      <c r="G260" s="9" t="s">
        <v>27</v>
      </c>
      <c r="H260" s="9" t="s">
        <v>28</v>
      </c>
      <c r="I260" s="9">
        <v>5</v>
      </c>
      <c r="J260" s="9">
        <v>6</v>
      </c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>
      <c r="A261" s="9">
        <v>1</v>
      </c>
      <c r="B261" s="11">
        <v>43816</v>
      </c>
      <c r="C261" s="9" t="s">
        <v>20</v>
      </c>
      <c r="D261" s="9">
        <v>3</v>
      </c>
      <c r="E261" s="9" t="s">
        <v>29</v>
      </c>
      <c r="F261" s="9" t="s">
        <v>30</v>
      </c>
      <c r="G261" s="9" t="s">
        <v>31</v>
      </c>
      <c r="H261" s="9" t="s">
        <v>32</v>
      </c>
      <c r="I261" s="9">
        <v>4</v>
      </c>
      <c r="J261" s="9">
        <v>6</v>
      </c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>
      <c r="A262" s="9">
        <v>1</v>
      </c>
      <c r="B262" s="11">
        <v>43816</v>
      </c>
      <c r="C262" s="9" t="s">
        <v>20</v>
      </c>
      <c r="D262" s="9">
        <v>4</v>
      </c>
      <c r="E262" s="9" t="s">
        <v>25</v>
      </c>
      <c r="F262" s="9" t="s">
        <v>33</v>
      </c>
      <c r="G262" s="9" t="s">
        <v>34</v>
      </c>
      <c r="H262" s="9" t="s">
        <v>35</v>
      </c>
      <c r="I262" s="9">
        <v>3</v>
      </c>
      <c r="J262" s="9">
        <v>5</v>
      </c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>
      <c r="A263" s="9">
        <v>1</v>
      </c>
      <c r="B263" s="11">
        <v>43816</v>
      </c>
      <c r="C263" s="9" t="s">
        <v>20</v>
      </c>
      <c r="D263" s="9">
        <v>2</v>
      </c>
      <c r="E263" s="9" t="s">
        <v>36</v>
      </c>
      <c r="F263" s="9" t="s">
        <v>37</v>
      </c>
      <c r="G263" s="9" t="s">
        <v>38</v>
      </c>
      <c r="H263" s="9" t="s">
        <v>39</v>
      </c>
      <c r="I263" s="9">
        <v>3</v>
      </c>
      <c r="J263" s="9">
        <v>5</v>
      </c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>
      <c r="A264" s="9">
        <v>1</v>
      </c>
      <c r="B264" s="11">
        <v>43816</v>
      </c>
      <c r="C264" s="9" t="s">
        <v>20</v>
      </c>
      <c r="D264" s="9">
        <v>4</v>
      </c>
      <c r="E264" s="9" t="s">
        <v>40</v>
      </c>
      <c r="F264" s="9" t="s">
        <v>41</v>
      </c>
      <c r="G264" s="9" t="s">
        <v>42</v>
      </c>
      <c r="H264" s="9" t="s">
        <v>43</v>
      </c>
      <c r="I264" s="9">
        <v>3</v>
      </c>
      <c r="J264" s="9">
        <v>5</v>
      </c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>
      <c r="A265" s="9">
        <v>1</v>
      </c>
      <c r="B265" s="11">
        <v>43816</v>
      </c>
      <c r="C265" s="9" t="s">
        <v>20</v>
      </c>
      <c r="D265" s="9">
        <v>4</v>
      </c>
      <c r="E265" s="9" t="s">
        <v>44</v>
      </c>
      <c r="F265" s="9" t="s">
        <v>45</v>
      </c>
      <c r="G265" s="9" t="s">
        <v>46</v>
      </c>
      <c r="H265" s="9" t="s">
        <v>47</v>
      </c>
      <c r="I265" s="9">
        <v>3</v>
      </c>
      <c r="J265" s="9">
        <v>4</v>
      </c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>
      <c r="A266" s="9">
        <v>1</v>
      </c>
      <c r="B266" s="11">
        <v>43816</v>
      </c>
      <c r="C266" s="9" t="s">
        <v>20</v>
      </c>
      <c r="D266" s="9">
        <v>4</v>
      </c>
      <c r="E266" s="9" t="s">
        <v>25</v>
      </c>
      <c r="F266" s="9" t="s">
        <v>48</v>
      </c>
      <c r="G266" s="9" t="s">
        <v>49</v>
      </c>
      <c r="H266" s="9" t="s">
        <v>50</v>
      </c>
      <c r="I266" s="9">
        <v>2</v>
      </c>
      <c r="J266" s="9">
        <v>5</v>
      </c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>
      <c r="A267" s="9">
        <v>1</v>
      </c>
      <c r="B267" s="11">
        <v>43816</v>
      </c>
      <c r="C267" s="9" t="s">
        <v>20</v>
      </c>
      <c r="D267" s="9">
        <v>4</v>
      </c>
      <c r="E267" s="9" t="s">
        <v>51</v>
      </c>
      <c r="F267" s="9" t="s">
        <v>52</v>
      </c>
      <c r="G267" s="9" t="s">
        <v>53</v>
      </c>
      <c r="H267" s="9" t="s">
        <v>54</v>
      </c>
      <c r="I267" s="9">
        <v>2</v>
      </c>
      <c r="J267" s="9">
        <v>5</v>
      </c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>
      <c r="A268" s="9">
        <v>1</v>
      </c>
      <c r="B268" s="11">
        <v>43816</v>
      </c>
      <c r="C268" s="9" t="s">
        <v>20</v>
      </c>
      <c r="D268" s="9">
        <v>4</v>
      </c>
      <c r="E268" s="9" t="s">
        <v>55</v>
      </c>
      <c r="F268" s="9" t="s">
        <v>56</v>
      </c>
      <c r="G268" s="9" t="s">
        <v>57</v>
      </c>
      <c r="H268" s="9" t="s">
        <v>58</v>
      </c>
      <c r="I268" s="9">
        <v>2</v>
      </c>
      <c r="J268" s="9">
        <v>4</v>
      </c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>
      <c r="A269" s="9">
        <v>1</v>
      </c>
      <c r="B269" s="11">
        <v>43816</v>
      </c>
      <c r="C269" s="9" t="s">
        <v>20</v>
      </c>
      <c r="D269" s="9">
        <v>4</v>
      </c>
      <c r="E269" s="9" t="s">
        <v>59</v>
      </c>
      <c r="F269" s="9" t="s">
        <v>60</v>
      </c>
      <c r="G269" s="9" t="s">
        <v>61</v>
      </c>
      <c r="H269" s="9" t="s">
        <v>62</v>
      </c>
      <c r="I269" s="9">
        <v>2</v>
      </c>
      <c r="J269" s="9">
        <v>3</v>
      </c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>
      <c r="A270" s="9">
        <v>1</v>
      </c>
      <c r="B270" s="11">
        <v>43816</v>
      </c>
      <c r="C270" s="9" t="s">
        <v>20</v>
      </c>
      <c r="D270" s="9">
        <v>4</v>
      </c>
      <c r="E270" s="9" t="s">
        <v>63</v>
      </c>
      <c r="F270" s="9" t="s">
        <v>64</v>
      </c>
      <c r="G270" s="9" t="s">
        <v>65</v>
      </c>
      <c r="H270" s="9" t="s">
        <v>66</v>
      </c>
      <c r="I270" s="9">
        <v>2</v>
      </c>
      <c r="J270" s="9">
        <v>2</v>
      </c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>
      <c r="A271" s="9">
        <v>1</v>
      </c>
      <c r="B271" s="11">
        <v>43816</v>
      </c>
      <c r="C271" s="9" t="s">
        <v>20</v>
      </c>
      <c r="D271" s="9">
        <v>4</v>
      </c>
      <c r="E271" s="9" t="s">
        <v>67</v>
      </c>
      <c r="F271" s="9" t="s">
        <v>68</v>
      </c>
      <c r="G271" s="9" t="s">
        <v>69</v>
      </c>
      <c r="H271" s="9" t="s">
        <v>70</v>
      </c>
      <c r="I271" s="9">
        <v>1</v>
      </c>
      <c r="J271" s="9">
        <v>7</v>
      </c>
      <c r="K271" s="9" t="s">
        <v>71</v>
      </c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>
      <c r="A272" s="9">
        <v>1</v>
      </c>
      <c r="B272" s="11">
        <v>43816</v>
      </c>
      <c r="C272" s="9" t="s">
        <v>20</v>
      </c>
      <c r="D272" s="9">
        <v>4</v>
      </c>
      <c r="E272" s="9" t="s">
        <v>21</v>
      </c>
      <c r="F272" s="9" t="s">
        <v>72</v>
      </c>
      <c r="G272" s="9" t="s">
        <v>73</v>
      </c>
      <c r="H272" s="9" t="s">
        <v>74</v>
      </c>
      <c r="I272" s="9">
        <v>1</v>
      </c>
      <c r="J272" s="9">
        <v>4</v>
      </c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>
      <c r="A273" s="9">
        <v>1</v>
      </c>
      <c r="B273" s="11">
        <v>43816</v>
      </c>
      <c r="C273" s="9" t="s">
        <v>20</v>
      </c>
      <c r="D273" s="9">
        <v>1</v>
      </c>
      <c r="E273" s="9" t="s">
        <v>75</v>
      </c>
      <c r="F273" s="9" t="s">
        <v>75</v>
      </c>
      <c r="G273" s="9" t="s">
        <v>76</v>
      </c>
      <c r="H273" s="12" t="s">
        <v>75</v>
      </c>
      <c r="I273" s="9">
        <v>1</v>
      </c>
      <c r="J273" s="9">
        <v>3</v>
      </c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>
      <c r="A274" s="9">
        <v>1</v>
      </c>
      <c r="B274" s="11">
        <v>43816</v>
      </c>
      <c r="C274" s="9" t="s">
        <v>20</v>
      </c>
      <c r="D274" s="9">
        <v>4</v>
      </c>
      <c r="E274" s="9" t="s">
        <v>77</v>
      </c>
      <c r="F274" s="9" t="s">
        <v>78</v>
      </c>
      <c r="G274" s="9" t="s">
        <v>79</v>
      </c>
      <c r="H274" s="9" t="s">
        <v>80</v>
      </c>
      <c r="I274" s="9">
        <v>1</v>
      </c>
      <c r="J274" s="9">
        <v>3</v>
      </c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>
      <c r="A275" s="9">
        <v>1</v>
      </c>
      <c r="B275" s="11">
        <v>43816</v>
      </c>
      <c r="C275" s="9" t="s">
        <v>20</v>
      </c>
      <c r="D275" s="9">
        <v>3</v>
      </c>
      <c r="E275" s="9" t="s">
        <v>81</v>
      </c>
      <c r="F275" s="9" t="s">
        <v>82</v>
      </c>
      <c r="G275" s="9" t="s">
        <v>83</v>
      </c>
      <c r="H275" s="9" t="s">
        <v>82</v>
      </c>
      <c r="I275" s="9">
        <v>1</v>
      </c>
      <c r="J275" s="9">
        <v>3</v>
      </c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>
      <c r="A276" s="9">
        <v>1</v>
      </c>
      <c r="B276" s="11">
        <v>43816</v>
      </c>
      <c r="C276" s="9" t="s">
        <v>20</v>
      </c>
      <c r="D276" s="9">
        <v>2</v>
      </c>
      <c r="E276" s="9" t="s">
        <v>84</v>
      </c>
      <c r="F276" s="9" t="s">
        <v>85</v>
      </c>
      <c r="G276" s="9" t="s">
        <v>86</v>
      </c>
      <c r="H276" s="9" t="s">
        <v>87</v>
      </c>
      <c r="I276" s="9">
        <v>1</v>
      </c>
      <c r="J276" s="9">
        <v>2</v>
      </c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>
      <c r="A277" s="9">
        <v>1</v>
      </c>
      <c r="B277" s="11">
        <v>43816</v>
      </c>
      <c r="C277" s="9" t="s">
        <v>20</v>
      </c>
      <c r="D277" s="9">
        <v>4</v>
      </c>
      <c r="E277" s="9" t="s">
        <v>88</v>
      </c>
      <c r="F277" s="9" t="s">
        <v>89</v>
      </c>
      <c r="G277" s="9" t="s">
        <v>90</v>
      </c>
      <c r="H277" s="9" t="s">
        <v>91</v>
      </c>
      <c r="I277" s="9">
        <v>1</v>
      </c>
      <c r="J277" s="9">
        <v>2</v>
      </c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</sheetData>
  <autoFilter ref="A1:L258" xr:uid="{00000000-0009-0000-0000-000001000000}"/>
  <customSheetViews>
    <customSheetView guid="{2B645371-7090-47A3-BC27-8529D0CE6622}" filter="1" showAutoFilter="1">
      <autoFilter ref="B1:C258" xr:uid="{00000000-0000-0000-0000-000000000000}">
        <filterColumn colId="1">
          <filters>
            <filter val="LP1"/>
            <filter val="LP5"/>
            <filter val="LP6"/>
            <filter val="LP7"/>
            <filter val="LP8"/>
            <filter val="LP9"/>
          </filters>
        </filterColumn>
      </autoFilter>
    </customSheetView>
  </customSheetViews>
  <pageMargins left="0" right="0" top="0" bottom="0" header="0" footer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0678E1D75DD9489A06974E86EAD776" ma:contentTypeVersion="10" ma:contentTypeDescription="Create a new document." ma:contentTypeScope="" ma:versionID="f5ca32d8abbe87c31ec53304ed85d1f9">
  <xsd:schema xmlns:xsd="http://www.w3.org/2001/XMLSchema" xmlns:xs="http://www.w3.org/2001/XMLSchema" xmlns:p="http://schemas.microsoft.com/office/2006/metadata/properties" xmlns:ns2="d0e4b5b6-5509-4c76-bf1d-2a496b20a109" targetNamespace="http://schemas.microsoft.com/office/2006/metadata/properties" ma:root="true" ma:fieldsID="237c269ce288215350f7309ab24bbe8d" ns2:_="">
    <xsd:import namespace="d0e4b5b6-5509-4c76-bf1d-2a496b20a1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4b5b6-5509-4c76-bf1d-2a496b20a1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A88495-2C76-44AB-A0C2-9BDEF446109F}"/>
</file>

<file path=customXml/itemProps2.xml><?xml version="1.0" encoding="utf-8"?>
<ds:datastoreItem xmlns:ds="http://schemas.openxmlformats.org/officeDocument/2006/customXml" ds:itemID="{C31E9E4F-D476-40AB-9176-66D21306043F}"/>
</file>

<file path=customXml/itemProps3.xml><?xml version="1.0" encoding="utf-8"?>
<ds:datastoreItem xmlns:ds="http://schemas.openxmlformats.org/officeDocument/2006/customXml" ds:itemID="{B7BBB556-E1AF-46A6-A27D-C6CD0DAE79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Brown,James T</cp:lastModifiedBy>
  <cp:revision/>
  <dcterms:created xsi:type="dcterms:W3CDTF">2020-11-13T19:59:54Z</dcterms:created>
  <dcterms:modified xsi:type="dcterms:W3CDTF">2020-11-13T19:59:54Z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0x010100DF0678E1D75DD9489A06974E86EAD776</vt:lpwstr>
  </property>
</Properties>
</file>